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hfxwater-my.sharepoint.com/personal/mackenk_halifaxwater_ca/Documents/Desktop/Development/RDC/"/>
    </mc:Choice>
  </mc:AlternateContent>
  <xr:revisionPtr revIDLastSave="0" documentId="8_{D8B93BC1-633C-4F42-8472-A5E26929D30E}" xr6:coauthVersionLast="47" xr6:coauthVersionMax="47" xr10:uidLastSave="{00000000-0000-0000-0000-000000000000}"/>
  <bookViews>
    <workbookView xWindow="-120" yWindow="-120" windowWidth="29040" windowHeight="15720" tabRatio="701" firstSheet="5" activeTab="5" xr2:uid="{ED3B5C66-A5E6-4D88-8DFF-4CB0675B0B24}"/>
  </bookViews>
  <sheets>
    <sheet name="Overnight Lending Rates" sheetId="14" state="hidden" r:id="rId1"/>
    <sheet name="BofC Bonds" sheetId="15" state="hidden" r:id="rId2"/>
    <sheet name="Non-Res Construction" sheetId="16" state="hidden" r:id="rId3"/>
    <sheet name="CPI" sheetId="17" state="hidden" r:id="rId4"/>
    <sheet name="Financial Assumptions" sheetId="12" state="hidden" r:id="rId5"/>
    <sheet name="Summary" sheetId="11" r:id="rId6"/>
    <sheet name="Wastewater - Financial Model" sheetId="10" r:id="rId7"/>
    <sheet name="Water - Financial Model" sheetId="9" r:id="rId8"/>
    <sheet name="2025 Water - Phase Costs" sheetId="1" r:id="rId9"/>
    <sheet name="2025 Water - Charge" sheetId="2" r:id="rId10"/>
    <sheet name="2025 Wastewater - Phase Costs" sheetId="3" r:id="rId11"/>
    <sheet name="2025 Wastewater - Charge" sheetId="4" r:id="rId12"/>
    <sheet name="Population Projections" sheetId="18" r:id="rId13"/>
    <sheet name="Escalation Factors" sheetId="13" r:id="rId14"/>
  </sheets>
  <definedNames>
    <definedName name="_xlnm._FilterDatabase" localSheetId="10" hidden="1">'2025 Wastewater - Phase Costs'!$A$5:$S$5</definedName>
    <definedName name="_xlnm._FilterDatabase" localSheetId="8" hidden="1">'2025 Water - Phase Costs'!$A$6:$R$107</definedName>
    <definedName name="ID" localSheetId="11" hidden="1">"2207e3e2-6e9b-435a-999e-77f828dbc2fc"</definedName>
    <definedName name="ID" localSheetId="10" hidden="1">"c04ef03e-e86d-4ae5-8233-b754f9e21fd2"</definedName>
    <definedName name="ID" localSheetId="9" hidden="1">"51766446-2127-4001-bf37-5204f06db2e1"</definedName>
    <definedName name="ID" localSheetId="8" hidden="1">"8f06cd30-7b5d-4234-a3ea-621a8d122ba2"</definedName>
    <definedName name="ID" localSheetId="1" hidden="1">"5d80e5b3-4a5d-4d9a-8f97-02e50829845f"</definedName>
    <definedName name="ID" localSheetId="3" hidden="1">"ca65862e-be0b-4ac4-a644-4d274741548b"</definedName>
    <definedName name="ID" localSheetId="13" hidden="1">"2bbf02ec-d4e1-45e7-b73d-5d65aad975d3"</definedName>
    <definedName name="ID" localSheetId="4" hidden="1">"87b7fa64-eb0a-49cc-8288-6a9a2ce920be"</definedName>
    <definedName name="ID" localSheetId="2" hidden="1">"86e85521-bceb-43e5-b550-36fe8da88d48"</definedName>
    <definedName name="ID" localSheetId="0" hidden="1">"99ee8321-5204-41e0-be21-efd6a9880a41"</definedName>
    <definedName name="ID" localSheetId="12" hidden="1">"b6faf628-d5bb-4d98-bcab-fc437f1c0c8f"</definedName>
    <definedName name="ID" localSheetId="6" hidden="1">"f55be6e5-e0ac-4e6d-8ecd-d732c0afb804"</definedName>
    <definedName name="ID" localSheetId="7" hidden="1">"575412d7-af0f-4766-99ac-fc4cbdbafa7d"</definedName>
    <definedName name="_xlnm.Print_Area" localSheetId="11">'2025 Wastewater - Charge'!$A$1:$D$56</definedName>
    <definedName name="_xlnm.Print_Area" localSheetId="10">'2025 Wastewater - Phase Costs'!$A$1:$S$114</definedName>
    <definedName name="_xlnm.Print_Area" localSheetId="9">'2025 Water - Charge'!$A$1:$E$56</definedName>
    <definedName name="_xlnm.Print_Area" localSheetId="4">'Financial Assumptions'!$A$1:$H$25</definedName>
    <definedName name="_xlnm.Print_Area" localSheetId="0">'Overnight Lending Rates'!$B$3:$R$98</definedName>
    <definedName name="_xlnm.Print_Area" localSheetId="12">'Population Projections'!$A$3:$Z$16</definedName>
    <definedName name="_xlnm.Print_Area" localSheetId="6">'Wastewater - Financial Model'!$A$1:$L$98</definedName>
    <definedName name="_xlnm.Print_Area" localSheetId="7">'Water - Financial Model'!$A$1:$L$98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4" l="1"/>
  <c r="D50" i="17" l="1"/>
  <c r="H4" i="12"/>
  <c r="O24" i="16"/>
  <c r="O25" i="16"/>
  <c r="O31" i="16"/>
  <c r="N31" i="16"/>
  <c r="O30" i="16"/>
  <c r="N30" i="16"/>
  <c r="O29" i="16"/>
  <c r="N29" i="16"/>
  <c r="O28" i="16"/>
  <c r="N28" i="16"/>
  <c r="O27" i="16"/>
  <c r="N27" i="16"/>
  <c r="O26" i="16"/>
  <c r="N26" i="16"/>
  <c r="N25" i="16"/>
  <c r="N24" i="16"/>
  <c r="O23" i="16"/>
  <c r="N23" i="16"/>
  <c r="O22" i="16"/>
  <c r="N22" i="16"/>
  <c r="O21" i="16"/>
  <c r="N21" i="16"/>
  <c r="O20" i="16"/>
  <c r="N20" i="16"/>
  <c r="O19" i="16"/>
  <c r="N19" i="16"/>
  <c r="O18" i="16"/>
  <c r="N18" i="16"/>
  <c r="O17" i="16"/>
  <c r="N17" i="16"/>
  <c r="O16" i="16"/>
  <c r="N16" i="16"/>
  <c r="O15" i="16"/>
  <c r="N15" i="16"/>
  <c r="O14" i="16"/>
  <c r="N14" i="16"/>
  <c r="O13" i="16"/>
  <c r="N13" i="16"/>
  <c r="O12" i="16"/>
  <c r="N12" i="16"/>
  <c r="O11" i="16"/>
  <c r="N11" i="16"/>
  <c r="O10" i="16"/>
  <c r="N10" i="16"/>
  <c r="O9" i="16"/>
  <c r="N9" i="16"/>
  <c r="P27" i="3"/>
  <c r="P30" i="3"/>
  <c r="P26" i="3"/>
  <c r="O28" i="3"/>
  <c r="P28" i="3" s="1"/>
  <c r="Q40" i="3"/>
  <c r="N89" i="1"/>
  <c r="N34" i="16" l="1"/>
  <c r="N35" i="16"/>
  <c r="O35" i="16"/>
  <c r="N37" i="16"/>
  <c r="O34" i="16"/>
  <c r="K63" i="2"/>
  <c r="K62" i="2"/>
  <c r="J111" i="3"/>
  <c r="J107" i="3"/>
  <c r="J91" i="3"/>
  <c r="J67" i="3"/>
  <c r="J42" i="3"/>
  <c r="J113" i="3" s="1"/>
  <c r="J114" i="3" s="1"/>
  <c r="P35" i="16" l="1"/>
  <c r="O37" i="16"/>
  <c r="P34" i="16"/>
  <c r="P37" i="16" s="1"/>
  <c r="I108" i="1"/>
  <c r="I102" i="1"/>
  <c r="I94" i="1" l="1"/>
  <c r="O36" i="1"/>
  <c r="O37" i="1"/>
  <c r="O38" i="1"/>
  <c r="O39" i="1"/>
  <c r="O40" i="1"/>
  <c r="Q40" i="1" s="1"/>
  <c r="R40" i="1" s="1"/>
  <c r="O41" i="1"/>
  <c r="I54" i="1"/>
  <c r="I110" i="1" l="1"/>
  <c r="I111" i="1" s="1"/>
  <c r="D18" i="13"/>
  <c r="R29" i="3"/>
  <c r="P29" i="3"/>
  <c r="N24" i="3"/>
  <c r="B88" i="9" l="1"/>
  <c r="B87" i="9"/>
  <c r="B86" i="9"/>
  <c r="B84" i="9"/>
  <c r="B83" i="9"/>
  <c r="B82" i="9"/>
  <c r="B80" i="9"/>
  <c r="B79" i="9"/>
  <c r="B78" i="9"/>
  <c r="B76" i="9"/>
  <c r="B75" i="9"/>
  <c r="B74" i="9"/>
  <c r="B72" i="9"/>
  <c r="B71" i="9"/>
  <c r="B70" i="9"/>
  <c r="B68" i="9"/>
  <c r="B67" i="9"/>
  <c r="B66" i="9"/>
  <c r="B64" i="9"/>
  <c r="B63" i="9"/>
  <c r="B62" i="9"/>
  <c r="B60" i="9"/>
  <c r="B59" i="9"/>
  <c r="B58" i="9"/>
  <c r="B56" i="9"/>
  <c r="B55" i="9"/>
  <c r="B54" i="9"/>
  <c r="B52" i="9"/>
  <c r="B51" i="9"/>
  <c r="B50" i="9"/>
  <c r="B48" i="9"/>
  <c r="B47" i="9"/>
  <c r="B46" i="9"/>
  <c r="B44" i="9"/>
  <c r="B43" i="9"/>
  <c r="B42" i="9"/>
  <c r="B40" i="9"/>
  <c r="B39" i="9"/>
  <c r="B38" i="9"/>
  <c r="B36" i="9"/>
  <c r="B35" i="9"/>
  <c r="B34" i="9"/>
  <c r="B31" i="9"/>
  <c r="B30" i="9"/>
  <c r="B32" i="9"/>
  <c r="B88" i="10"/>
  <c r="B87" i="10"/>
  <c r="B86" i="10"/>
  <c r="B84" i="10"/>
  <c r="B83" i="10"/>
  <c r="B82" i="10"/>
  <c r="B80" i="10"/>
  <c r="B79" i="10"/>
  <c r="B78" i="10"/>
  <c r="B76" i="10"/>
  <c r="B75" i="10"/>
  <c r="B74" i="10"/>
  <c r="B72" i="10"/>
  <c r="B71" i="10"/>
  <c r="B70" i="10"/>
  <c r="B68" i="10"/>
  <c r="B67" i="10"/>
  <c r="B66" i="10"/>
  <c r="B64" i="10"/>
  <c r="B63" i="10"/>
  <c r="B62" i="10"/>
  <c r="B60" i="10"/>
  <c r="B59" i="10"/>
  <c r="B58" i="10"/>
  <c r="B56" i="10"/>
  <c r="B55" i="10"/>
  <c r="B54" i="10"/>
  <c r="B52" i="10"/>
  <c r="B51" i="10"/>
  <c r="B50" i="10"/>
  <c r="B48" i="10"/>
  <c r="B47" i="10"/>
  <c r="B46" i="10"/>
  <c r="B44" i="10"/>
  <c r="B43" i="10"/>
  <c r="B42" i="10"/>
  <c r="B40" i="10"/>
  <c r="B39" i="10"/>
  <c r="B38" i="10"/>
  <c r="B36" i="10"/>
  <c r="B35" i="10"/>
  <c r="B34" i="10"/>
  <c r="B32" i="10"/>
  <c r="B31" i="10"/>
  <c r="B30" i="10"/>
  <c r="B36" i="4"/>
  <c r="B34" i="4"/>
  <c r="B32" i="4"/>
  <c r="B12" i="4"/>
  <c r="B36" i="2"/>
  <c r="B34" i="2"/>
  <c r="B32" i="2"/>
  <c r="B12" i="2"/>
  <c r="Q3" i="3"/>
  <c r="P4" i="1"/>
  <c r="P89" i="1" s="1"/>
  <c r="I30" i="18"/>
  <c r="I29" i="18"/>
  <c r="I28" i="18"/>
  <c r="G22" i="18"/>
  <c r="C17" i="18"/>
  <c r="E15" i="18"/>
  <c r="D15" i="18"/>
  <c r="E10" i="18"/>
  <c r="G10" i="18" s="1"/>
  <c r="C10" i="18"/>
  <c r="D9" i="18"/>
  <c r="E9" i="18" s="1"/>
  <c r="C9" i="18"/>
  <c r="E8" i="18"/>
  <c r="G8" i="18" s="1"/>
  <c r="C8" i="18"/>
  <c r="G7" i="18"/>
  <c r="F7" i="18"/>
  <c r="E7" i="18"/>
  <c r="C7" i="18"/>
  <c r="D6" i="18"/>
  <c r="J28" i="18" s="1"/>
  <c r="C6" i="18"/>
  <c r="D5" i="18"/>
  <c r="J29" i="18" s="1"/>
  <c r="C5" i="18"/>
  <c r="D49" i="17"/>
  <c r="D48" i="17"/>
  <c r="D47" i="17"/>
  <c r="D46" i="17"/>
  <c r="D45" i="17"/>
  <c r="D53" i="17" s="1"/>
  <c r="D44" i="17"/>
  <c r="D43" i="17"/>
  <c r="D42" i="17"/>
  <c r="D41" i="17"/>
  <c r="D40" i="17"/>
  <c r="D39" i="17"/>
  <c r="D38" i="17"/>
  <c r="D37" i="17"/>
  <c r="D36" i="17"/>
  <c r="D35" i="17"/>
  <c r="B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F13" i="16"/>
  <c r="E13" i="16"/>
  <c r="F12" i="16"/>
  <c r="E12" i="16"/>
  <c r="F11" i="16"/>
  <c r="E11" i="16"/>
  <c r="F10" i="16"/>
  <c r="E10" i="16"/>
  <c r="F9" i="16"/>
  <c r="E9" i="16"/>
  <c r="C137" i="15"/>
  <c r="C136" i="14"/>
  <c r="L50" i="14"/>
  <c r="D9" i="14" s="1"/>
  <c r="P37" i="14"/>
  <c r="P36" i="14"/>
  <c r="D8" i="14"/>
  <c r="E33" i="16" l="1"/>
  <c r="F33" i="16"/>
  <c r="F36" i="16" s="1"/>
  <c r="E34" i="16"/>
  <c r="F34" i="16"/>
  <c r="D52" i="17"/>
  <c r="D55" i="17" s="1"/>
  <c r="H17" i="12" s="1"/>
  <c r="C139" i="15"/>
  <c r="D12" i="15"/>
  <c r="H11" i="12"/>
  <c r="G9" i="18"/>
  <c r="F9" i="18"/>
  <c r="C31" i="18"/>
  <c r="E6" i="18"/>
  <c r="F8" i="18"/>
  <c r="H5" i="18"/>
  <c r="H6" i="18" s="1"/>
  <c r="H7" i="18" s="1"/>
  <c r="H8" i="18" s="1"/>
  <c r="H9" i="18" s="1"/>
  <c r="H10" i="18" s="1"/>
  <c r="J30" i="18"/>
  <c r="C16" i="18"/>
  <c r="E5" i="18"/>
  <c r="F10" i="18"/>
  <c r="D11" i="18"/>
  <c r="E36" i="16"/>
  <c r="H33" i="16"/>
  <c r="L52" i="14"/>
  <c r="H34" i="16" l="1"/>
  <c r="H36" i="16" s="1"/>
  <c r="H14" i="12" s="1"/>
  <c r="D13" i="15"/>
  <c r="H8" i="12" s="1"/>
  <c r="E11" i="18"/>
  <c r="G5" i="18"/>
  <c r="F5" i="18"/>
  <c r="C20" i="18"/>
  <c r="C18" i="18"/>
  <c r="G6" i="18"/>
  <c r="F6" i="18"/>
  <c r="C19" i="18"/>
  <c r="G20" i="18" s="1"/>
  <c r="G11" i="18" l="1"/>
  <c r="I8" i="18"/>
  <c r="J8" i="18" s="1"/>
  <c r="I10" i="18"/>
  <c r="J10" i="18" s="1"/>
  <c r="I7" i="18"/>
  <c r="J7" i="18" s="1"/>
  <c r="I6" i="18"/>
  <c r="J6" i="18" s="1"/>
  <c r="I9" i="18"/>
  <c r="J9" i="18" s="1"/>
  <c r="I5" i="18"/>
  <c r="F11" i="18"/>
  <c r="K28" i="18" l="1"/>
  <c r="L28" i="18" s="1"/>
  <c r="K5" i="18"/>
  <c r="K6" i="18" s="1"/>
  <c r="K7" i="18" s="1"/>
  <c r="K8" i="18" s="1"/>
  <c r="K9" i="18" s="1"/>
  <c r="K10" i="18" s="1"/>
  <c r="I11" i="18"/>
  <c r="J5" i="18"/>
  <c r="J11" i="18" s="1"/>
  <c r="C21" i="18"/>
  <c r="K29" i="18"/>
  <c r="L29" i="18" s="1"/>
  <c r="C32" i="18"/>
  <c r="K30" i="18"/>
  <c r="L30" i="18" s="1"/>
  <c r="C33" i="18" l="1"/>
  <c r="C34" i="18" s="1"/>
  <c r="C22" i="18"/>
  <c r="C23" i="18" s="1"/>
  <c r="C36" i="18"/>
  <c r="C35" i="18" l="1"/>
  <c r="C24" i="18"/>
  <c r="M3" i="3" l="1"/>
  <c r="L4" i="1"/>
  <c r="J29" i="10"/>
  <c r="K29" i="9"/>
  <c r="J29" i="9"/>
  <c r="F1" i="13"/>
  <c r="F2" i="13"/>
  <c r="F24" i="13" l="1"/>
  <c r="D36" i="10" s="1"/>
  <c r="F25" i="13"/>
  <c r="F26" i="13"/>
  <c r="F27" i="13"/>
  <c r="F28" i="13"/>
  <c r="G30" i="13"/>
  <c r="G40" i="13"/>
  <c r="G24" i="13"/>
  <c r="G42" i="13"/>
  <c r="G44" i="13"/>
  <c r="G33" i="13"/>
  <c r="G34" i="13"/>
  <c r="G25" i="13"/>
  <c r="G26" i="13"/>
  <c r="G28" i="13"/>
  <c r="G32" i="13"/>
  <c r="G35" i="13"/>
  <c r="G38" i="13"/>
  <c r="G29" i="13"/>
  <c r="G41" i="13"/>
  <c r="G31" i="13"/>
  <c r="G36" i="13"/>
  <c r="G27" i="13"/>
  <c r="G37" i="13"/>
  <c r="G39" i="13"/>
  <c r="G43" i="13"/>
  <c r="F38" i="13"/>
  <c r="F39" i="13"/>
  <c r="D50" i="9"/>
  <c r="F40" i="13"/>
  <c r="F29" i="13"/>
  <c r="D55" i="10" s="1"/>
  <c r="F41" i="13"/>
  <c r="F30" i="13"/>
  <c r="D59" i="10" s="1"/>
  <c r="F42" i="13"/>
  <c r="F31" i="13"/>
  <c r="F43" i="13"/>
  <c r="F32" i="13"/>
  <c r="F44" i="13"/>
  <c r="F33" i="13"/>
  <c r="D71" i="9" s="1"/>
  <c r="F34" i="13"/>
  <c r="D75" i="10" s="1"/>
  <c r="F35" i="13"/>
  <c r="D79" i="10" s="1"/>
  <c r="F36" i="13"/>
  <c r="D83" i="9" s="1"/>
  <c r="F37" i="13"/>
  <c r="B31" i="13"/>
  <c r="B43" i="13"/>
  <c r="B32" i="13"/>
  <c r="B44" i="13"/>
  <c r="B33" i="13"/>
  <c r="B24" i="13"/>
  <c r="B34" i="13"/>
  <c r="B25" i="13"/>
  <c r="B35" i="13"/>
  <c r="B26" i="13"/>
  <c r="B36" i="13"/>
  <c r="B27" i="13"/>
  <c r="B37" i="13"/>
  <c r="B28" i="13"/>
  <c r="B38" i="13"/>
  <c r="B29" i="13"/>
  <c r="B39" i="13"/>
  <c r="B30" i="13"/>
  <c r="B41" i="13"/>
  <c r="B42" i="13"/>
  <c r="B23" i="13"/>
  <c r="D20" i="13" s="1"/>
  <c r="K34" i="3" s="1"/>
  <c r="B40" i="13"/>
  <c r="D50" i="10"/>
  <c r="D31" i="10"/>
  <c r="D78" i="10"/>
  <c r="D30" i="9"/>
  <c r="D30" i="10"/>
  <c r="D35" i="10"/>
  <c r="D51" i="10"/>
  <c r="D52" i="10"/>
  <c r="D51" i="9"/>
  <c r="D75" i="9"/>
  <c r="D70" i="9"/>
  <c r="D80" i="10" l="1"/>
  <c r="D36" i="9"/>
  <c r="D35" i="9"/>
  <c r="D34" i="10"/>
  <c r="D76" i="9"/>
  <c r="D56" i="10"/>
  <c r="D84" i="10"/>
  <c r="H28" i="13"/>
  <c r="K108" i="3" s="1"/>
  <c r="L108" i="3" s="1"/>
  <c r="M108" i="3" s="1"/>
  <c r="N108" i="3" s="1"/>
  <c r="K41" i="3"/>
  <c r="H22" i="13"/>
  <c r="H20" i="13"/>
  <c r="H26" i="13"/>
  <c r="H24" i="13"/>
  <c r="D84" i="9"/>
  <c r="D22" i="13"/>
  <c r="J71" i="1" s="1"/>
  <c r="D58" i="10"/>
  <c r="D59" i="9"/>
  <c r="D60" i="10"/>
  <c r="D79" i="9"/>
  <c r="D72" i="9"/>
  <c r="D34" i="9"/>
  <c r="D60" i="9"/>
  <c r="D74" i="9"/>
  <c r="D70" i="10"/>
  <c r="D58" i="9"/>
  <c r="D54" i="9"/>
  <c r="D54" i="10"/>
  <c r="D55" i="9"/>
  <c r="D56" i="9"/>
  <c r="D74" i="10"/>
  <c r="D76" i="10"/>
  <c r="D52" i="9"/>
  <c r="D82" i="9"/>
  <c r="D82" i="10"/>
  <c r="D80" i="9"/>
  <c r="D78" i="9"/>
  <c r="D72" i="10"/>
  <c r="D31" i="9"/>
  <c r="D32" i="9"/>
  <c r="D71" i="10"/>
  <c r="D83" i="10"/>
  <c r="D32" i="10"/>
  <c r="D26" i="13"/>
  <c r="D28" i="13"/>
  <c r="D62" i="9"/>
  <c r="D64" i="10"/>
  <c r="D64" i="9"/>
  <c r="D63" i="9"/>
  <c r="D63" i="10"/>
  <c r="D62" i="10"/>
  <c r="D87" i="9"/>
  <c r="D86" i="9"/>
  <c r="D88" i="10"/>
  <c r="D88" i="9"/>
  <c r="D87" i="10"/>
  <c r="D86" i="10"/>
  <c r="D68" i="9"/>
  <c r="D67" i="9"/>
  <c r="D66" i="10"/>
  <c r="D66" i="9"/>
  <c r="D68" i="10"/>
  <c r="D67" i="10"/>
  <c r="D48" i="10"/>
  <c r="D47" i="10"/>
  <c r="D46" i="9"/>
  <c r="D48" i="9"/>
  <c r="D47" i="9"/>
  <c r="D46" i="10"/>
  <c r="D39" i="9"/>
  <c r="D38" i="9"/>
  <c r="D40" i="10"/>
  <c r="D39" i="10"/>
  <c r="D38" i="10"/>
  <c r="D40" i="9"/>
  <c r="D43" i="10"/>
  <c r="D42" i="10"/>
  <c r="D44" i="9"/>
  <c r="D43" i="9"/>
  <c r="D42" i="9"/>
  <c r="D44" i="10"/>
  <c r="D24" i="13"/>
  <c r="J68" i="1" l="1"/>
  <c r="J62" i="1"/>
  <c r="J67" i="1"/>
  <c r="J103" i="1"/>
  <c r="K103" i="1" s="1"/>
  <c r="L103" i="1" s="1"/>
  <c r="M103" i="1" s="1"/>
  <c r="K85" i="3"/>
  <c r="L85" i="3" s="1"/>
  <c r="M85" i="3" s="1"/>
  <c r="N85" i="3" s="1"/>
  <c r="P85" i="3" s="1"/>
  <c r="K76" i="3"/>
  <c r="L76" i="3" s="1"/>
  <c r="M76" i="3" s="1"/>
  <c r="N76" i="3" s="1"/>
  <c r="P76" i="3" s="1"/>
  <c r="K70" i="3"/>
  <c r="L70" i="3" s="1"/>
  <c r="M70" i="3" s="1"/>
  <c r="N70" i="3" s="1"/>
  <c r="K87" i="3"/>
  <c r="L87" i="3" s="1"/>
  <c r="M87" i="3" s="1"/>
  <c r="N87" i="3" s="1"/>
  <c r="K83" i="3"/>
  <c r="L83" i="3" s="1"/>
  <c r="M83" i="3" s="1"/>
  <c r="N83" i="3" s="1"/>
  <c r="P83" i="3" s="1"/>
  <c r="K82" i="3"/>
  <c r="L82" i="3" s="1"/>
  <c r="M82" i="3" s="1"/>
  <c r="N82" i="3" s="1"/>
  <c r="K72" i="3"/>
  <c r="L72" i="3" s="1"/>
  <c r="M72" i="3" s="1"/>
  <c r="N72" i="3" s="1"/>
  <c r="P72" i="3" s="1"/>
  <c r="K79" i="3"/>
  <c r="L79" i="3" s="1"/>
  <c r="M79" i="3" s="1"/>
  <c r="N79" i="3" s="1"/>
  <c r="P79" i="3" s="1"/>
  <c r="K77" i="3"/>
  <c r="L77" i="3" s="1"/>
  <c r="M77" i="3" s="1"/>
  <c r="N77" i="3" s="1"/>
  <c r="P77" i="3" s="1"/>
  <c r="K86" i="3"/>
  <c r="L86" i="3" s="1"/>
  <c r="M86" i="3" s="1"/>
  <c r="N86" i="3" s="1"/>
  <c r="K68" i="3"/>
  <c r="L68" i="3" s="1"/>
  <c r="M68" i="3" s="1"/>
  <c r="N68" i="3" s="1"/>
  <c r="K84" i="3"/>
  <c r="L84" i="3" s="1"/>
  <c r="M84" i="3" s="1"/>
  <c r="N84" i="3" s="1"/>
  <c r="P84" i="3" s="1"/>
  <c r="K74" i="3"/>
  <c r="L74" i="3" s="1"/>
  <c r="M74" i="3" s="1"/>
  <c r="N74" i="3" s="1"/>
  <c r="P74" i="3" s="1"/>
  <c r="K88" i="3"/>
  <c r="L88" i="3" s="1"/>
  <c r="M88" i="3" s="1"/>
  <c r="N88" i="3" s="1"/>
  <c r="K69" i="3"/>
  <c r="L69" i="3" s="1"/>
  <c r="M69" i="3" s="1"/>
  <c r="N69" i="3" s="1"/>
  <c r="J93" i="1"/>
  <c r="K93" i="1" s="1"/>
  <c r="L93" i="1" s="1"/>
  <c r="M93" i="1" s="1"/>
  <c r="J77" i="1"/>
  <c r="K77" i="1" s="1"/>
  <c r="L77" i="1" s="1"/>
  <c r="M77" i="1" s="1"/>
  <c r="J91" i="1"/>
  <c r="K91" i="1" s="1"/>
  <c r="L91" i="1" s="1"/>
  <c r="M91" i="1" s="1"/>
  <c r="J74" i="1"/>
  <c r="K74" i="1" s="1"/>
  <c r="L74" i="1" s="1"/>
  <c r="M74" i="1" s="1"/>
  <c r="J90" i="1"/>
  <c r="K90" i="1" s="1"/>
  <c r="L90" i="1" s="1"/>
  <c r="M90" i="1" s="1"/>
  <c r="J89" i="1"/>
  <c r="K89" i="1" s="1"/>
  <c r="L89" i="1" s="1"/>
  <c r="M89" i="1" s="1"/>
  <c r="O89" i="1" s="1"/>
  <c r="Q89" i="1" s="1"/>
  <c r="R89" i="1" s="1"/>
  <c r="J85" i="1"/>
  <c r="K85" i="1" s="1"/>
  <c r="L85" i="1" s="1"/>
  <c r="M85" i="1" s="1"/>
  <c r="O85" i="1" s="1"/>
  <c r="J79" i="1"/>
  <c r="K79" i="1" s="1"/>
  <c r="L79" i="1" s="1"/>
  <c r="M79" i="1" s="1"/>
  <c r="O79" i="1" s="1"/>
  <c r="J83" i="1"/>
  <c r="K83" i="1" s="1"/>
  <c r="L83" i="1" s="1"/>
  <c r="M83" i="1" s="1"/>
  <c r="O83" i="1" s="1"/>
  <c r="J78" i="1"/>
  <c r="K78" i="1" s="1"/>
  <c r="L78" i="1" s="1"/>
  <c r="M78" i="1" s="1"/>
  <c r="O78" i="1" s="1"/>
  <c r="Q78" i="1" s="1"/>
  <c r="J92" i="1"/>
  <c r="K92" i="1" s="1"/>
  <c r="L92" i="1" s="1"/>
  <c r="M92" i="1" s="1"/>
  <c r="J82" i="1"/>
  <c r="K82" i="1" s="1"/>
  <c r="L82" i="1" s="1"/>
  <c r="M82" i="1" s="1"/>
  <c r="J81" i="1"/>
  <c r="K81" i="1" s="1"/>
  <c r="L81" i="1" s="1"/>
  <c r="M81" i="1" s="1"/>
  <c r="J76" i="1"/>
  <c r="K76" i="1" s="1"/>
  <c r="L76" i="1" s="1"/>
  <c r="M76" i="1" s="1"/>
  <c r="J75" i="1"/>
  <c r="K75" i="1" s="1"/>
  <c r="L75" i="1" s="1"/>
  <c r="M75" i="1" s="1"/>
  <c r="K92" i="3"/>
  <c r="L92" i="3" s="1"/>
  <c r="M92" i="3" s="1"/>
  <c r="N92" i="3" s="1"/>
  <c r="P92" i="3" s="1"/>
  <c r="K94" i="3"/>
  <c r="L94" i="3" s="1"/>
  <c r="M94" i="3" s="1"/>
  <c r="N94" i="3" s="1"/>
  <c r="K93" i="3"/>
  <c r="L93" i="3" s="1"/>
  <c r="M93" i="3" s="1"/>
  <c r="N93" i="3" s="1"/>
  <c r="J101" i="1"/>
  <c r="K101" i="1" s="1"/>
  <c r="L101" i="1" s="1"/>
  <c r="M101" i="1" s="1"/>
  <c r="J95" i="1"/>
  <c r="K95" i="1" s="1"/>
  <c r="L95" i="1" s="1"/>
  <c r="M95" i="1" s="1"/>
  <c r="K36" i="3"/>
  <c r="L36" i="3" s="1"/>
  <c r="M36" i="3" s="1"/>
  <c r="N36" i="3" s="1"/>
  <c r="K40" i="3"/>
  <c r="L40" i="3" s="1"/>
  <c r="M40" i="3" s="1"/>
  <c r="N40" i="3" s="1"/>
  <c r="K33" i="3"/>
  <c r="L33" i="3" s="1"/>
  <c r="M33" i="3" s="1"/>
  <c r="N33" i="3" s="1"/>
  <c r="P33" i="3" s="1"/>
  <c r="K32" i="3"/>
  <c r="L32" i="3" s="1"/>
  <c r="M32" i="3" s="1"/>
  <c r="N32" i="3" s="1"/>
  <c r="K38" i="3"/>
  <c r="L38" i="3" s="1"/>
  <c r="M38" i="3" s="1"/>
  <c r="N38" i="3" s="1"/>
  <c r="K39" i="3"/>
  <c r="L39" i="3" s="1"/>
  <c r="M39" i="3" s="1"/>
  <c r="N39" i="3" s="1"/>
  <c r="P39" i="3" s="1"/>
  <c r="K37" i="3"/>
  <c r="L37" i="3" s="1"/>
  <c r="M37" i="3" s="1"/>
  <c r="N37" i="3" s="1"/>
  <c r="K35" i="3"/>
  <c r="L35" i="3" s="1"/>
  <c r="M35" i="3" s="1"/>
  <c r="N35" i="3" s="1"/>
  <c r="P35" i="3" s="1"/>
  <c r="J48" i="1"/>
  <c r="K48" i="1" s="1"/>
  <c r="L48" i="1" s="1"/>
  <c r="M48" i="1" s="1"/>
  <c r="O48" i="1" s="1"/>
  <c r="J49" i="1"/>
  <c r="K49" i="1" s="1"/>
  <c r="L49" i="1" s="1"/>
  <c r="M49" i="1" s="1"/>
  <c r="O49" i="1" s="1"/>
  <c r="J50" i="1"/>
  <c r="K50" i="1" s="1"/>
  <c r="L50" i="1" s="1"/>
  <c r="M50" i="1" s="1"/>
  <c r="O50" i="1" s="1"/>
  <c r="J51" i="1"/>
  <c r="K51" i="1" s="1"/>
  <c r="L51" i="1" s="1"/>
  <c r="M51" i="1" s="1"/>
  <c r="O51" i="1" s="1"/>
  <c r="J46" i="1"/>
  <c r="K46" i="1" s="1"/>
  <c r="L46" i="1" s="1"/>
  <c r="M46" i="1" s="1"/>
  <c r="J47" i="1"/>
  <c r="K47" i="1" s="1"/>
  <c r="L47" i="1" s="1"/>
  <c r="M47" i="1" s="1"/>
  <c r="O47" i="1" s="1"/>
  <c r="J52" i="1"/>
  <c r="K52" i="1" s="1"/>
  <c r="L52" i="1" s="1"/>
  <c r="M52" i="1" s="1"/>
  <c r="J53" i="1"/>
  <c r="K53" i="1" s="1"/>
  <c r="L53" i="1" s="1"/>
  <c r="M53" i="1" s="1"/>
  <c r="J45" i="1"/>
  <c r="K45" i="1" s="1"/>
  <c r="L45" i="1" s="1"/>
  <c r="M45" i="1" s="1"/>
  <c r="O45" i="1" s="1"/>
  <c r="K54" i="3"/>
  <c r="L54" i="3" s="1"/>
  <c r="M54" i="3" s="1"/>
  <c r="N54" i="3" s="1"/>
  <c r="P54" i="3" s="1"/>
  <c r="K45" i="3"/>
  <c r="L45" i="3" s="1"/>
  <c r="M45" i="3" s="1"/>
  <c r="N45" i="3" s="1"/>
  <c r="K63" i="3"/>
  <c r="L63" i="3" s="1"/>
  <c r="M63" i="3" s="1"/>
  <c r="N63" i="3" s="1"/>
  <c r="K46" i="3"/>
  <c r="L46" i="3" s="1"/>
  <c r="M46" i="3" s="1"/>
  <c r="N46" i="3" s="1"/>
  <c r="K55" i="3"/>
  <c r="L55" i="3" s="1"/>
  <c r="M55" i="3" s="1"/>
  <c r="N55" i="3" s="1"/>
  <c r="P55" i="3" s="1"/>
  <c r="K64" i="3"/>
  <c r="L64" i="3" s="1"/>
  <c r="M64" i="3" s="1"/>
  <c r="N64" i="3" s="1"/>
  <c r="K47" i="3"/>
  <c r="L47" i="3" s="1"/>
  <c r="M47" i="3" s="1"/>
  <c r="N47" i="3" s="1"/>
  <c r="P47" i="3" s="1"/>
  <c r="K65" i="3"/>
  <c r="L65" i="3" s="1"/>
  <c r="M65" i="3" s="1"/>
  <c r="N65" i="3" s="1"/>
  <c r="P65" i="3" s="1"/>
  <c r="K58" i="3"/>
  <c r="L58" i="3" s="1"/>
  <c r="M58" i="3" s="1"/>
  <c r="N58" i="3" s="1"/>
  <c r="P58" i="3" s="1"/>
  <c r="K60" i="3"/>
  <c r="L60" i="3" s="1"/>
  <c r="M60" i="3" s="1"/>
  <c r="N60" i="3" s="1"/>
  <c r="P60" i="3" s="1"/>
  <c r="K48" i="3"/>
  <c r="L48" i="3" s="1"/>
  <c r="M48" i="3" s="1"/>
  <c r="N48" i="3" s="1"/>
  <c r="P48" i="3" s="1"/>
  <c r="K56" i="3"/>
  <c r="L56" i="3" s="1"/>
  <c r="M56" i="3" s="1"/>
  <c r="N56" i="3" s="1"/>
  <c r="P56" i="3" s="1"/>
  <c r="K66" i="3"/>
  <c r="L66" i="3" s="1"/>
  <c r="M66" i="3" s="1"/>
  <c r="N66" i="3" s="1"/>
  <c r="P66" i="3" s="1"/>
  <c r="K57" i="3"/>
  <c r="L57" i="3" s="1"/>
  <c r="M57" i="3" s="1"/>
  <c r="N57" i="3" s="1"/>
  <c r="P57" i="3" s="1"/>
  <c r="K43" i="3"/>
  <c r="L43" i="3" s="1"/>
  <c r="M43" i="3" s="1"/>
  <c r="N43" i="3" s="1"/>
  <c r="K49" i="3"/>
  <c r="L49" i="3" s="1"/>
  <c r="M49" i="3" s="1"/>
  <c r="N49" i="3" s="1"/>
  <c r="P49" i="3" s="1"/>
  <c r="K50" i="3"/>
  <c r="L50" i="3" s="1"/>
  <c r="M50" i="3" s="1"/>
  <c r="N50" i="3" s="1"/>
  <c r="P50" i="3" s="1"/>
  <c r="K51" i="3"/>
  <c r="L51" i="3" s="1"/>
  <c r="M51" i="3" s="1"/>
  <c r="N51" i="3" s="1"/>
  <c r="P51" i="3" s="1"/>
  <c r="K52" i="3"/>
  <c r="L52" i="3" s="1"/>
  <c r="M52" i="3" s="1"/>
  <c r="N52" i="3" s="1"/>
  <c r="P52" i="3" s="1"/>
  <c r="K53" i="3"/>
  <c r="L53" i="3" s="1"/>
  <c r="M53" i="3" s="1"/>
  <c r="N53" i="3" s="1"/>
  <c r="K61" i="3"/>
  <c r="L61" i="3" s="1"/>
  <c r="M61" i="3" s="1"/>
  <c r="N61" i="3" s="1"/>
  <c r="K44" i="3"/>
  <c r="L44" i="3" s="1"/>
  <c r="M44" i="3" s="1"/>
  <c r="N44" i="3" s="1"/>
  <c r="K62" i="3"/>
  <c r="L62" i="3" s="1"/>
  <c r="M62" i="3" s="1"/>
  <c r="N62" i="3" s="1"/>
  <c r="K59" i="3"/>
  <c r="L59" i="3" s="1"/>
  <c r="M59" i="3" s="1"/>
  <c r="N59" i="3" s="1"/>
  <c r="P59" i="3" s="1"/>
  <c r="J72" i="1"/>
  <c r="K72" i="1" s="1"/>
  <c r="L72" i="1" s="1"/>
  <c r="M72" i="1" s="1"/>
  <c r="J70" i="1"/>
  <c r="K70" i="1" s="1"/>
  <c r="L70" i="1" s="1"/>
  <c r="M70" i="1" s="1"/>
  <c r="J60" i="1"/>
  <c r="K60" i="1" s="1"/>
  <c r="L60" i="1" s="1"/>
  <c r="M60" i="1" s="1"/>
  <c r="J63" i="1"/>
  <c r="K63" i="1" s="1"/>
  <c r="L63" i="1" s="1"/>
  <c r="M63" i="1" s="1"/>
  <c r="O63" i="1" s="1"/>
  <c r="Q63" i="1" s="1"/>
  <c r="R63" i="1" s="1"/>
  <c r="J55" i="1"/>
  <c r="K55" i="1" s="1"/>
  <c r="L55" i="1" s="1"/>
  <c r="M55" i="1" s="1"/>
  <c r="J56" i="1"/>
  <c r="K56" i="1" s="1"/>
  <c r="L56" i="1" s="1"/>
  <c r="M56" i="1" s="1"/>
  <c r="J69" i="1"/>
  <c r="K69" i="1" s="1"/>
  <c r="L69" i="1" s="1"/>
  <c r="M69" i="1" s="1"/>
  <c r="J57" i="1"/>
  <c r="K57" i="1" s="1"/>
  <c r="L57" i="1" s="1"/>
  <c r="M57" i="1" s="1"/>
  <c r="J66" i="1"/>
  <c r="K66" i="1" s="1"/>
  <c r="L66" i="1" s="1"/>
  <c r="M66" i="1" s="1"/>
  <c r="J58" i="1"/>
  <c r="K58" i="1" s="1"/>
  <c r="L58" i="1" s="1"/>
  <c r="M58" i="1" s="1"/>
  <c r="J65" i="1"/>
  <c r="K65" i="1" s="1"/>
  <c r="L65" i="1" s="1"/>
  <c r="M65" i="1" s="1"/>
  <c r="J59" i="1"/>
  <c r="K59" i="1" s="1"/>
  <c r="L59" i="1" s="1"/>
  <c r="M59" i="1" s="1"/>
  <c r="J64" i="1"/>
  <c r="K64" i="1" s="1"/>
  <c r="L64" i="1" s="1"/>
  <c r="M64" i="1" s="1"/>
  <c r="J61" i="1"/>
  <c r="K61" i="1" s="1"/>
  <c r="L61" i="1" s="1"/>
  <c r="M61" i="1" s="1"/>
  <c r="J88" i="1"/>
  <c r="K81" i="3"/>
  <c r="J86" i="1"/>
  <c r="K78" i="3"/>
  <c r="J80" i="1"/>
  <c r="K75" i="3"/>
  <c r="K73" i="3"/>
  <c r="K71" i="3"/>
  <c r="K90" i="3"/>
  <c r="K89" i="3"/>
  <c r="J87" i="1"/>
  <c r="K80" i="3"/>
  <c r="J104" i="1"/>
  <c r="K110" i="3"/>
  <c r="J107" i="1"/>
  <c r="J106" i="1"/>
  <c r="J105" i="1"/>
  <c r="K109" i="3"/>
  <c r="K98" i="3"/>
  <c r="J100" i="1"/>
  <c r="K97" i="3"/>
  <c r="J99" i="1"/>
  <c r="K96" i="3"/>
  <c r="J98" i="1"/>
  <c r="K95" i="3"/>
  <c r="J97" i="1"/>
  <c r="J96" i="1"/>
  <c r="K105" i="3"/>
  <c r="K103" i="3"/>
  <c r="K102" i="3"/>
  <c r="K101" i="3"/>
  <c r="K100" i="3"/>
  <c r="K99" i="3"/>
  <c r="K106" i="3"/>
  <c r="K104" i="3"/>
  <c r="R78" i="1" l="1"/>
  <c r="Q79" i="1"/>
  <c r="R79" i="1" s="1"/>
  <c r="P53" i="3"/>
  <c r="R53" i="3" s="1"/>
  <c r="S53" i="3" s="1"/>
  <c r="P46" i="3"/>
  <c r="R46" i="3" s="1"/>
  <c r="S46" i="3" s="1"/>
  <c r="N76" i="1"/>
  <c r="O76" i="1" s="1"/>
  <c r="N7" i="9"/>
  <c r="N4" i="9"/>
  <c r="N8" i="10"/>
  <c r="N5" i="10"/>
  <c r="E16" i="4" l="1"/>
  <c r="G16" i="2"/>
  <c r="N53" i="1" l="1"/>
  <c r="O53" i="1" s="1"/>
  <c r="O102" i="3"/>
  <c r="L102" i="3"/>
  <c r="O38" i="3"/>
  <c r="P38" i="3" s="1"/>
  <c r="O37" i="3"/>
  <c r="P37" i="3" s="1"/>
  <c r="O36" i="3"/>
  <c r="P36" i="3" s="1"/>
  <c r="O45" i="3"/>
  <c r="P45" i="3" s="1"/>
  <c r="Q53" i="1" l="1"/>
  <c r="R53" i="1"/>
  <c r="L109" i="3"/>
  <c r="L110" i="3"/>
  <c r="E46" i="4"/>
  <c r="E38" i="4"/>
  <c r="E36" i="4"/>
  <c r="E34" i="4"/>
  <c r="E22" i="4"/>
  <c r="E20" i="4"/>
  <c r="E32" i="4"/>
  <c r="E30" i="4"/>
  <c r="E28" i="4"/>
  <c r="J27" i="10"/>
  <c r="E27" i="10"/>
  <c r="E25" i="10"/>
  <c r="E23" i="10"/>
  <c r="E21" i="10"/>
  <c r="E19" i="10"/>
  <c r="E17" i="10"/>
  <c r="E15" i="10"/>
  <c r="E13" i="10"/>
  <c r="E11" i="10"/>
  <c r="K9" i="10"/>
  <c r="H9" i="10"/>
  <c r="E9" i="10"/>
  <c r="F9" i="10" s="1"/>
  <c r="J27" i="9"/>
  <c r="E27" i="9"/>
  <c r="E25" i="9"/>
  <c r="E23" i="9"/>
  <c r="K21" i="9"/>
  <c r="K23" i="9" s="1"/>
  <c r="K25" i="9" s="1"/>
  <c r="K27" i="9" s="1"/>
  <c r="H21" i="9"/>
  <c r="H23" i="9" s="1"/>
  <c r="E21" i="9"/>
  <c r="K19" i="9"/>
  <c r="H19" i="9"/>
  <c r="E19" i="9"/>
  <c r="H17" i="9"/>
  <c r="E17" i="9"/>
  <c r="H15" i="9"/>
  <c r="E15" i="9"/>
  <c r="H13" i="9"/>
  <c r="E13" i="9"/>
  <c r="H11" i="9"/>
  <c r="E11" i="9"/>
  <c r="K9" i="9"/>
  <c r="H9" i="9"/>
  <c r="E9" i="9"/>
  <c r="F9" i="9" s="1"/>
  <c r="D38" i="4"/>
  <c r="D20" i="4"/>
  <c r="I9" i="10" l="1"/>
  <c r="L9" i="10" s="1"/>
  <c r="K11" i="10" s="1"/>
  <c r="F11" i="10"/>
  <c r="I9" i="9"/>
  <c r="L9" i="9" s="1"/>
  <c r="K11" i="9" s="1"/>
  <c r="F11" i="9"/>
  <c r="D22" i="4"/>
  <c r="F13" i="10" l="1"/>
  <c r="F13" i="9"/>
  <c r="I11" i="9"/>
  <c r="L11" i="9" s="1"/>
  <c r="K13" i="9" s="1"/>
  <c r="F15" i="10" l="1"/>
  <c r="F15" i="9"/>
  <c r="I13" i="9"/>
  <c r="L13" i="9" s="1"/>
  <c r="K15" i="9" s="1"/>
  <c r="F17" i="10" l="1"/>
  <c r="F17" i="9"/>
  <c r="I15" i="9"/>
  <c r="L15" i="9" s="1"/>
  <c r="K17" i="9" s="1"/>
  <c r="F19" i="10" l="1"/>
  <c r="I17" i="9"/>
  <c r="L17" i="9" s="1"/>
  <c r="F19" i="9"/>
  <c r="F21" i="10" l="1"/>
  <c r="I19" i="9"/>
  <c r="L19" i="9" s="1"/>
  <c r="F21" i="9"/>
  <c r="F23" i="10" l="1"/>
  <c r="F23" i="9"/>
  <c r="I21" i="9"/>
  <c r="L21" i="9" s="1"/>
  <c r="F25" i="10" l="1"/>
  <c r="I23" i="9"/>
  <c r="L23" i="9" s="1"/>
  <c r="F25" i="9"/>
  <c r="F27" i="10" l="1"/>
  <c r="F27" i="9"/>
  <c r="G46" i="2" l="1"/>
  <c r="G38" i="2"/>
  <c r="G36" i="2"/>
  <c r="G34" i="2"/>
  <c r="G32" i="2"/>
  <c r="G30" i="2"/>
  <c r="G28" i="2"/>
  <c r="G22" i="2"/>
  <c r="G20" i="2"/>
  <c r="L111" i="3" l="1"/>
  <c r="I111" i="3"/>
  <c r="O110" i="3"/>
  <c r="O109" i="3"/>
  <c r="O108" i="3"/>
  <c r="P108" i="3" s="1"/>
  <c r="I107" i="3"/>
  <c r="L106" i="3"/>
  <c r="L105" i="3"/>
  <c r="L104" i="3"/>
  <c r="L103" i="3"/>
  <c r="L101" i="3"/>
  <c r="L100" i="3"/>
  <c r="L99" i="3"/>
  <c r="L98" i="3"/>
  <c r="L97" i="3"/>
  <c r="L96" i="3"/>
  <c r="L95" i="3"/>
  <c r="O94" i="3"/>
  <c r="P94" i="3" s="1"/>
  <c r="O93" i="3"/>
  <c r="P93" i="3" s="1"/>
  <c r="I91" i="3"/>
  <c r="L90" i="3"/>
  <c r="L89" i="3"/>
  <c r="O88" i="3"/>
  <c r="P88" i="3" s="1"/>
  <c r="O87" i="3"/>
  <c r="P87" i="3" s="1"/>
  <c r="O86" i="3"/>
  <c r="P86" i="3" s="1"/>
  <c r="O82" i="3"/>
  <c r="P82" i="3" s="1"/>
  <c r="L81" i="3"/>
  <c r="L80" i="3"/>
  <c r="L78" i="3"/>
  <c r="L75" i="3"/>
  <c r="L73" i="3"/>
  <c r="L71" i="3"/>
  <c r="O70" i="3"/>
  <c r="P70" i="3" s="1"/>
  <c r="O69" i="3"/>
  <c r="P69" i="3" s="1"/>
  <c r="O68" i="3"/>
  <c r="P68" i="3" s="1"/>
  <c r="N67" i="3"/>
  <c r="M67" i="3"/>
  <c r="L67" i="3"/>
  <c r="I67" i="3"/>
  <c r="O64" i="3"/>
  <c r="P64" i="3" s="1"/>
  <c r="O63" i="3"/>
  <c r="P63" i="3" s="1"/>
  <c r="O62" i="3"/>
  <c r="P62" i="3" s="1"/>
  <c r="O61" i="3"/>
  <c r="P61" i="3" s="1"/>
  <c r="O44" i="3"/>
  <c r="P44" i="3" s="1"/>
  <c r="O43" i="3"/>
  <c r="P43" i="3" s="1"/>
  <c r="I42" i="3"/>
  <c r="L41" i="3"/>
  <c r="O40" i="3"/>
  <c r="P40" i="3" s="1"/>
  <c r="R40" i="3" s="1"/>
  <c r="S40" i="3" s="1"/>
  <c r="L34" i="3"/>
  <c r="O32" i="3"/>
  <c r="P32" i="3" s="1"/>
  <c r="S31" i="3"/>
  <c r="G29" i="10" s="1"/>
  <c r="R31" i="3"/>
  <c r="N31" i="3"/>
  <c r="M31" i="3"/>
  <c r="L31" i="3"/>
  <c r="I31" i="3"/>
  <c r="P31" i="3"/>
  <c r="S29" i="3"/>
  <c r="G27" i="10" s="1"/>
  <c r="N29" i="3"/>
  <c r="M29" i="3"/>
  <c r="I29" i="3"/>
  <c r="S25" i="3"/>
  <c r="G23" i="10" s="1"/>
  <c r="R25" i="3"/>
  <c r="N25" i="3"/>
  <c r="M25" i="3"/>
  <c r="L25" i="3"/>
  <c r="L29" i="3" s="1"/>
  <c r="I25" i="3"/>
  <c r="P24" i="3"/>
  <c r="P23" i="3"/>
  <c r="S22" i="3"/>
  <c r="G21" i="10" s="1"/>
  <c r="R22" i="3"/>
  <c r="P21" i="3"/>
  <c r="N21" i="3" s="1"/>
  <c r="P20" i="3"/>
  <c r="N20" i="3" s="1"/>
  <c r="S19" i="3"/>
  <c r="G19" i="10" s="1"/>
  <c r="R19" i="3"/>
  <c r="P18" i="3"/>
  <c r="N18" i="3" s="1"/>
  <c r="P17" i="3"/>
  <c r="P16" i="3"/>
  <c r="N16" i="3" s="1"/>
  <c r="R15" i="3"/>
  <c r="M15" i="3"/>
  <c r="I15" i="3"/>
  <c r="L14" i="3"/>
  <c r="L15" i="3" s="1"/>
  <c r="R13" i="3"/>
  <c r="M13" i="3"/>
  <c r="I13" i="3"/>
  <c r="L12" i="3"/>
  <c r="N12" i="3" s="1"/>
  <c r="R11" i="3"/>
  <c r="M11" i="3"/>
  <c r="I11" i="3"/>
  <c r="L10" i="3"/>
  <c r="L11" i="3" s="1"/>
  <c r="S9" i="3"/>
  <c r="G11" i="10" s="1"/>
  <c r="H11" i="10" s="1"/>
  <c r="R9" i="3"/>
  <c r="N8" i="3"/>
  <c r="N9" i="3" s="1"/>
  <c r="R7" i="3"/>
  <c r="M7" i="3"/>
  <c r="I7" i="3"/>
  <c r="L6" i="3"/>
  <c r="L7" i="3" s="1"/>
  <c r="Q62" i="3"/>
  <c r="M102" i="3"/>
  <c r="N102" i="3" s="1"/>
  <c r="H108" i="1"/>
  <c r="K107" i="1"/>
  <c r="K106" i="1"/>
  <c r="K105" i="1"/>
  <c r="K104" i="1"/>
  <c r="N103" i="1"/>
  <c r="O103" i="1" s="1"/>
  <c r="H102" i="1"/>
  <c r="N101" i="1"/>
  <c r="O101" i="1" s="1"/>
  <c r="K100" i="1"/>
  <c r="K99" i="1"/>
  <c r="K98" i="1"/>
  <c r="K97" i="1"/>
  <c r="K96" i="1"/>
  <c r="N95" i="1"/>
  <c r="O95" i="1" s="1"/>
  <c r="H94" i="1"/>
  <c r="N93" i="1"/>
  <c r="O93" i="1" s="1"/>
  <c r="N92" i="1"/>
  <c r="O92" i="1" s="1"/>
  <c r="N91" i="1"/>
  <c r="O91" i="1" s="1"/>
  <c r="N90" i="1"/>
  <c r="O90" i="1" s="1"/>
  <c r="K88" i="1"/>
  <c r="K87" i="1"/>
  <c r="K86" i="1"/>
  <c r="N82" i="1"/>
  <c r="O82" i="1" s="1"/>
  <c r="N81" i="1"/>
  <c r="O81" i="1" s="1"/>
  <c r="K80" i="1"/>
  <c r="N77" i="1"/>
  <c r="O77" i="1" s="1"/>
  <c r="N75" i="1"/>
  <c r="O75" i="1" s="1"/>
  <c r="N74" i="1"/>
  <c r="O74" i="1" s="1"/>
  <c r="H73" i="1"/>
  <c r="N72" i="1"/>
  <c r="O72" i="1" s="1"/>
  <c r="N71" i="1"/>
  <c r="K71" i="1"/>
  <c r="N70" i="1"/>
  <c r="O70" i="1" s="1"/>
  <c r="N69" i="1"/>
  <c r="O69" i="1" s="1"/>
  <c r="K68" i="1"/>
  <c r="N67" i="1"/>
  <c r="K67" i="1"/>
  <c r="N66" i="1"/>
  <c r="O66" i="1" s="1"/>
  <c r="N65" i="1"/>
  <c r="O65" i="1" s="1"/>
  <c r="N64" i="1"/>
  <c r="O64" i="1" s="1"/>
  <c r="K62" i="1"/>
  <c r="P61" i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H54" i="1"/>
  <c r="N52" i="1"/>
  <c r="O52" i="1" s="1"/>
  <c r="N46" i="1"/>
  <c r="O46" i="1" s="1"/>
  <c r="N44" i="1"/>
  <c r="O44" i="1" s="1"/>
  <c r="N43" i="1"/>
  <c r="O43" i="1" s="1"/>
  <c r="N42" i="1"/>
  <c r="O42" i="1" s="1"/>
  <c r="M35" i="1"/>
  <c r="L35" i="1"/>
  <c r="K35" i="1"/>
  <c r="H35" i="1"/>
  <c r="N33" i="1"/>
  <c r="O33" i="1" s="1"/>
  <c r="N32" i="1"/>
  <c r="O32" i="1" s="1"/>
  <c r="L31" i="1"/>
  <c r="K31" i="1"/>
  <c r="H31" i="1"/>
  <c r="R29" i="1"/>
  <c r="O29" i="1"/>
  <c r="O28" i="1"/>
  <c r="Q31" i="1" s="1"/>
  <c r="R27" i="1"/>
  <c r="M27" i="1" s="1"/>
  <c r="R26" i="1"/>
  <c r="G25" i="9" s="1"/>
  <c r="H25" i="9" s="1"/>
  <c r="Q26" i="1"/>
  <c r="L26" i="1"/>
  <c r="K26" i="1"/>
  <c r="H26" i="1"/>
  <c r="M25" i="1"/>
  <c r="M24" i="1"/>
  <c r="H23" i="1"/>
  <c r="O22" i="1"/>
  <c r="O21" i="1"/>
  <c r="Q21" i="1" s="1"/>
  <c r="R21" i="1" s="1"/>
  <c r="O20" i="1"/>
  <c r="M20" i="1" s="1"/>
  <c r="O19" i="1"/>
  <c r="R19" i="1" s="1"/>
  <c r="O18" i="1"/>
  <c r="Q18" i="1" s="1"/>
  <c r="M17" i="1"/>
  <c r="H17" i="1"/>
  <c r="O16" i="1"/>
  <c r="O17" i="1" s="1"/>
  <c r="M15" i="1"/>
  <c r="H15" i="1"/>
  <c r="O14" i="1"/>
  <c r="O15" i="1" s="1"/>
  <c r="R13" i="1"/>
  <c r="Q13" i="1"/>
  <c r="O13" i="1"/>
  <c r="M13" i="1"/>
  <c r="L13" i="1"/>
  <c r="K13" i="1"/>
  <c r="H13" i="1"/>
  <c r="R11" i="1"/>
  <c r="Q11" i="1"/>
  <c r="O11" i="1"/>
  <c r="M11" i="1"/>
  <c r="L11" i="1"/>
  <c r="K11" i="1"/>
  <c r="H11" i="1"/>
  <c r="L9" i="1"/>
  <c r="H9" i="1"/>
  <c r="K8" i="1"/>
  <c r="P81" i="1"/>
  <c r="R62" i="3" l="1"/>
  <c r="S62" i="3" s="1"/>
  <c r="P102" i="3"/>
  <c r="H13" i="10"/>
  <c r="I11" i="10"/>
  <c r="L11" i="10" s="1"/>
  <c r="K13" i="10" s="1"/>
  <c r="L13" i="3"/>
  <c r="Q81" i="1"/>
  <c r="R81" i="1" s="1"/>
  <c r="Q42" i="1"/>
  <c r="R42" i="1" s="1"/>
  <c r="Q61" i="1"/>
  <c r="R61" i="1" s="1"/>
  <c r="O54" i="1"/>
  <c r="Q14" i="1"/>
  <c r="Q15" i="1" s="1"/>
  <c r="Q16" i="1"/>
  <c r="Q17" i="1" s="1"/>
  <c r="H110" i="1"/>
  <c r="H111" i="1" s="1"/>
  <c r="H27" i="9"/>
  <c r="I27" i="9" s="1"/>
  <c r="L27" i="9" s="1"/>
  <c r="I25" i="9"/>
  <c r="L25" i="9" s="1"/>
  <c r="R18" i="1"/>
  <c r="Q19" i="1"/>
  <c r="O24" i="1"/>
  <c r="O25" i="1"/>
  <c r="O30" i="1"/>
  <c r="R31" i="1"/>
  <c r="M26" i="1"/>
  <c r="Q35" i="1"/>
  <c r="P44" i="1"/>
  <c r="Q44" i="1" s="1"/>
  <c r="R44" i="1" s="1"/>
  <c r="P45" i="1"/>
  <c r="Q45" i="1" s="1"/>
  <c r="R45" i="1" s="1"/>
  <c r="P55" i="1"/>
  <c r="Q55" i="1" s="1"/>
  <c r="R55" i="1" s="1"/>
  <c r="P43" i="1"/>
  <c r="Q43" i="1" s="1"/>
  <c r="R43" i="1" s="1"/>
  <c r="P67" i="1"/>
  <c r="P97" i="1"/>
  <c r="P77" i="1"/>
  <c r="Q77" i="1" s="1"/>
  <c r="R77" i="1" s="1"/>
  <c r="K108" i="1"/>
  <c r="P60" i="1"/>
  <c r="Q60" i="1" s="1"/>
  <c r="R60" i="1" s="1"/>
  <c r="P75" i="1"/>
  <c r="Q75" i="1" s="1"/>
  <c r="R75" i="1" s="1"/>
  <c r="Q108" i="3"/>
  <c r="R108" i="3" s="1"/>
  <c r="S108" i="3" s="1"/>
  <c r="Q102" i="3"/>
  <c r="P25" i="3"/>
  <c r="N6" i="3"/>
  <c r="N7" i="3" s="1"/>
  <c r="N19" i="3"/>
  <c r="P22" i="3"/>
  <c r="P95" i="1"/>
  <c r="Q95" i="1" s="1"/>
  <c r="R95" i="1" s="1"/>
  <c r="L106" i="1"/>
  <c r="M106" i="1" s="1"/>
  <c r="P69" i="1"/>
  <c r="Q69" i="1" s="1"/>
  <c r="R69" i="1" s="1"/>
  <c r="P71" i="1"/>
  <c r="P37" i="1"/>
  <c r="Q37" i="1" s="1"/>
  <c r="R37" i="1" s="1"/>
  <c r="P49" i="1"/>
  <c r="Q49" i="1" s="1"/>
  <c r="R49" i="1" s="1"/>
  <c r="P51" i="1"/>
  <c r="Q51" i="1" s="1"/>
  <c r="R51" i="1" s="1"/>
  <c r="P56" i="1"/>
  <c r="Q56" i="1" s="1"/>
  <c r="R56" i="1" s="1"/>
  <c r="P65" i="1"/>
  <c r="Q65" i="1" s="1"/>
  <c r="R65" i="1" s="1"/>
  <c r="P83" i="1"/>
  <c r="Q83" i="1" s="1"/>
  <c r="R83" i="1" s="1"/>
  <c r="P38" i="1"/>
  <c r="Q38" i="1" s="1"/>
  <c r="R38" i="1" s="1"/>
  <c r="P85" i="1"/>
  <c r="Q85" i="1" s="1"/>
  <c r="R85" i="1" s="1"/>
  <c r="Q37" i="3"/>
  <c r="R37" i="3" s="1"/>
  <c r="S37" i="3" s="1"/>
  <c r="L98" i="1"/>
  <c r="M98" i="1" s="1"/>
  <c r="P52" i="1"/>
  <c r="Q52" i="1" s="1"/>
  <c r="R52" i="1" s="1"/>
  <c r="P57" i="1"/>
  <c r="Q57" i="1" s="1"/>
  <c r="R57" i="1" s="1"/>
  <c r="P93" i="1"/>
  <c r="Q93" i="1" s="1"/>
  <c r="R93" i="1" s="1"/>
  <c r="P41" i="1"/>
  <c r="Q41" i="1" s="1"/>
  <c r="R41" i="1" s="1"/>
  <c r="P74" i="1"/>
  <c r="Q74" i="1" s="1"/>
  <c r="R74" i="1" s="1"/>
  <c r="P12" i="3"/>
  <c r="P13" i="3" s="1"/>
  <c r="N13" i="3"/>
  <c r="P19" i="3"/>
  <c r="N10" i="3"/>
  <c r="Q41" i="3"/>
  <c r="M103" i="3"/>
  <c r="N103" i="3" s="1"/>
  <c r="N14" i="3"/>
  <c r="Q79" i="3"/>
  <c r="R79" i="3" s="1"/>
  <c r="S79" i="3" s="1"/>
  <c r="P67" i="3"/>
  <c r="Q45" i="3"/>
  <c r="R45" i="3" s="1"/>
  <c r="S45" i="3" s="1"/>
  <c r="M110" i="3"/>
  <c r="N110" i="3" s="1"/>
  <c r="M109" i="3"/>
  <c r="Q76" i="3"/>
  <c r="R76" i="3" s="1"/>
  <c r="S76" i="3" s="1"/>
  <c r="Q59" i="3"/>
  <c r="R59" i="3" s="1"/>
  <c r="S59" i="3" s="1"/>
  <c r="L8" i="3"/>
  <c r="I8" i="3" s="1"/>
  <c r="K9" i="1"/>
  <c r="M8" i="1"/>
  <c r="P42" i="1"/>
  <c r="P66" i="1"/>
  <c r="Q66" i="1" s="1"/>
  <c r="R66" i="1" s="1"/>
  <c r="P90" i="1"/>
  <c r="Q90" i="1" s="1"/>
  <c r="R90" i="1" s="1"/>
  <c r="L96" i="1"/>
  <c r="M96" i="1" s="1"/>
  <c r="P101" i="1"/>
  <c r="Q101" i="1" s="1"/>
  <c r="R101" i="1" s="1"/>
  <c r="Q38" i="3"/>
  <c r="R38" i="3" s="1"/>
  <c r="S38" i="3" s="1"/>
  <c r="Q50" i="3"/>
  <c r="R50" i="3" s="1"/>
  <c r="S50" i="3" s="1"/>
  <c r="Q82" i="3"/>
  <c r="R82" i="3" s="1"/>
  <c r="S82" i="3" s="1"/>
  <c r="P36" i="1"/>
  <c r="Q36" i="1" s="1"/>
  <c r="R36" i="1" s="1"/>
  <c r="P72" i="1"/>
  <c r="Q72" i="1" s="1"/>
  <c r="R72" i="1" s="1"/>
  <c r="P82" i="1"/>
  <c r="Q82" i="1" s="1"/>
  <c r="R82" i="1" s="1"/>
  <c r="P96" i="1"/>
  <c r="Q51" i="3"/>
  <c r="R51" i="3" s="1"/>
  <c r="S51" i="3" s="1"/>
  <c r="Q55" i="3"/>
  <c r="R55" i="3" s="1"/>
  <c r="S55" i="3" s="1"/>
  <c r="Q74" i="3"/>
  <c r="R74" i="3" s="1"/>
  <c r="S74" i="3" s="1"/>
  <c r="Q86" i="3"/>
  <c r="R86" i="3" s="1"/>
  <c r="S86" i="3" s="1"/>
  <c r="P91" i="1"/>
  <c r="Q91" i="1" s="1"/>
  <c r="R91" i="1" s="1"/>
  <c r="P103" i="1"/>
  <c r="Q103" i="1" s="1"/>
  <c r="R103" i="1" s="1"/>
  <c r="Q58" i="3"/>
  <c r="R58" i="3" s="1"/>
  <c r="S58" i="3" s="1"/>
  <c r="M75" i="3"/>
  <c r="N75" i="3" s="1"/>
  <c r="Q88" i="3"/>
  <c r="R88" i="3" s="1"/>
  <c r="S88" i="3" s="1"/>
  <c r="M96" i="3"/>
  <c r="N96" i="3" s="1"/>
  <c r="P39" i="1"/>
  <c r="Q39" i="1" s="1"/>
  <c r="R39" i="1" s="1"/>
  <c r="P50" i="1"/>
  <c r="Q50" i="1" s="1"/>
  <c r="R50" i="1" s="1"/>
  <c r="P64" i="1"/>
  <c r="Q64" i="1" s="1"/>
  <c r="R64" i="1" s="1"/>
  <c r="P70" i="1"/>
  <c r="Q70" i="1" s="1"/>
  <c r="R70" i="1" s="1"/>
  <c r="P88" i="1"/>
  <c r="P98" i="1"/>
  <c r="Q43" i="3"/>
  <c r="R43" i="3" s="1"/>
  <c r="S43" i="3" s="1"/>
  <c r="Q33" i="3"/>
  <c r="R33" i="3" s="1"/>
  <c r="S33" i="3" s="1"/>
  <c r="Q69" i="3"/>
  <c r="R69" i="3" s="1"/>
  <c r="S69" i="3" s="1"/>
  <c r="Q80" i="3"/>
  <c r="Q66" i="3"/>
  <c r="R66" i="3" s="1"/>
  <c r="S66" i="3" s="1"/>
  <c r="K102" i="1"/>
  <c r="L100" i="1"/>
  <c r="M100" i="1" s="1"/>
  <c r="L68" i="1"/>
  <c r="M68" i="1" s="1"/>
  <c r="K73" i="1"/>
  <c r="L62" i="1"/>
  <c r="L105" i="1"/>
  <c r="M105" i="1" s="1"/>
  <c r="L86" i="1"/>
  <c r="M86" i="1" s="1"/>
  <c r="M97" i="3"/>
  <c r="N97" i="3" s="1"/>
  <c r="M23" i="1"/>
  <c r="M73" i="3"/>
  <c r="N73" i="3" s="1"/>
  <c r="L91" i="3"/>
  <c r="M98" i="3"/>
  <c r="N98" i="3" s="1"/>
  <c r="K54" i="1"/>
  <c r="O23" i="1"/>
  <c r="L67" i="1"/>
  <c r="M67" i="1" s="1"/>
  <c r="M99" i="3"/>
  <c r="N99" i="3" s="1"/>
  <c r="M100" i="3"/>
  <c r="N100" i="3" s="1"/>
  <c r="Q22" i="1"/>
  <c r="R35" i="1"/>
  <c r="G29" i="9" s="1"/>
  <c r="L71" i="1"/>
  <c r="M71" i="1" s="1"/>
  <c r="L87" i="1"/>
  <c r="M87" i="1" s="1"/>
  <c r="L104" i="1"/>
  <c r="M104" i="1" s="1"/>
  <c r="L107" i="1"/>
  <c r="M107" i="1" s="1"/>
  <c r="M34" i="3"/>
  <c r="L42" i="3"/>
  <c r="M101" i="3"/>
  <c r="N101" i="3" s="1"/>
  <c r="O35" i="1"/>
  <c r="M78" i="3"/>
  <c r="N78" i="3" s="1"/>
  <c r="M104" i="3"/>
  <c r="N104" i="3" s="1"/>
  <c r="L97" i="1"/>
  <c r="M97" i="1" s="1"/>
  <c r="M89" i="3"/>
  <c r="N89" i="3" s="1"/>
  <c r="M95" i="3"/>
  <c r="N95" i="3" s="1"/>
  <c r="L107" i="3"/>
  <c r="M105" i="3"/>
  <c r="N105" i="3" s="1"/>
  <c r="M80" i="3"/>
  <c r="N80" i="3" s="1"/>
  <c r="M106" i="3"/>
  <c r="N106" i="3" s="1"/>
  <c r="Q20" i="1"/>
  <c r="L88" i="1"/>
  <c r="M88" i="1" s="1"/>
  <c r="L99" i="1"/>
  <c r="M99" i="1" s="1"/>
  <c r="M31" i="1"/>
  <c r="O27" i="1"/>
  <c r="K94" i="1"/>
  <c r="L80" i="1"/>
  <c r="M41" i="3"/>
  <c r="N41" i="3" s="1"/>
  <c r="M71" i="3"/>
  <c r="M81" i="3"/>
  <c r="N81" i="3" s="1"/>
  <c r="M90" i="3"/>
  <c r="N90" i="3" s="1"/>
  <c r="N22" i="3"/>
  <c r="Q83" i="3"/>
  <c r="R83" i="3" s="1"/>
  <c r="S83" i="3" s="1"/>
  <c r="Q95" i="3"/>
  <c r="Q100" i="3"/>
  <c r="Q106" i="3"/>
  <c r="Q109" i="3"/>
  <c r="P58" i="1"/>
  <c r="Q58" i="1" s="1"/>
  <c r="R58" i="1" s="1"/>
  <c r="P8" i="3"/>
  <c r="P9" i="3" s="1"/>
  <c r="S12" i="3"/>
  <c r="S13" i="3" s="1"/>
  <c r="Q39" i="3"/>
  <c r="R39" i="3" s="1"/>
  <c r="S39" i="3" s="1"/>
  <c r="Q47" i="3"/>
  <c r="R47" i="3" s="1"/>
  <c r="S47" i="3" s="1"/>
  <c r="Q60" i="3"/>
  <c r="R60" i="3" s="1"/>
  <c r="S60" i="3" s="1"/>
  <c r="Q70" i="3"/>
  <c r="R70" i="3" s="1"/>
  <c r="S70" i="3" s="1"/>
  <c r="Q84" i="3"/>
  <c r="R84" i="3" s="1"/>
  <c r="S84" i="3" s="1"/>
  <c r="Q89" i="3"/>
  <c r="P47" i="1"/>
  <c r="Q47" i="1" s="1"/>
  <c r="R47" i="1" s="1"/>
  <c r="P76" i="1"/>
  <c r="Q76" i="1" s="1"/>
  <c r="R76" i="1" s="1"/>
  <c r="P86" i="1"/>
  <c r="P92" i="1"/>
  <c r="Q92" i="1" s="1"/>
  <c r="R92" i="1" s="1"/>
  <c r="Q48" i="3"/>
  <c r="R48" i="3" s="1"/>
  <c r="S48" i="3" s="1"/>
  <c r="Q85" i="3"/>
  <c r="R85" i="3" s="1"/>
  <c r="S85" i="3" s="1"/>
  <c r="Q110" i="3"/>
  <c r="P46" i="1"/>
  <c r="Q46" i="1" s="1"/>
  <c r="R46" i="1" s="1"/>
  <c r="P48" i="1"/>
  <c r="Q48" i="1" s="1"/>
  <c r="R48" i="1" s="1"/>
  <c r="P59" i="1"/>
  <c r="Q59" i="1" s="1"/>
  <c r="R59" i="1" s="1"/>
  <c r="Q32" i="3"/>
  <c r="R32" i="3" s="1"/>
  <c r="S32" i="3" s="1"/>
  <c r="Q49" i="3"/>
  <c r="R49" i="3" s="1"/>
  <c r="S49" i="3" s="1"/>
  <c r="Q61" i="3"/>
  <c r="R61" i="3" s="1"/>
  <c r="S61" i="3" s="1"/>
  <c r="Q92" i="3"/>
  <c r="R92" i="3" s="1"/>
  <c r="S92" i="3" s="1"/>
  <c r="Q98" i="3"/>
  <c r="Q93" i="3"/>
  <c r="R93" i="3" s="1"/>
  <c r="S93" i="3" s="1"/>
  <c r="Q96" i="3"/>
  <c r="Q101" i="3"/>
  <c r="Q52" i="3"/>
  <c r="R52" i="3" s="1"/>
  <c r="S52" i="3" s="1"/>
  <c r="Q71" i="3"/>
  <c r="Q77" i="3"/>
  <c r="R77" i="3" s="1"/>
  <c r="S77" i="3" s="1"/>
  <c r="Q87" i="3"/>
  <c r="R87" i="3" s="1"/>
  <c r="S87" i="3" s="1"/>
  <c r="Q90" i="3"/>
  <c r="Q54" i="3"/>
  <c r="R54" i="3" s="1"/>
  <c r="S54" i="3" s="1"/>
  <c r="Q63" i="3"/>
  <c r="R63" i="3" s="1"/>
  <c r="S63" i="3" s="1"/>
  <c r="Q72" i="3"/>
  <c r="R72" i="3" s="1"/>
  <c r="S72" i="3" s="1"/>
  <c r="Q94" i="3"/>
  <c r="R94" i="3" s="1"/>
  <c r="S94" i="3" s="1"/>
  <c r="Q105" i="3"/>
  <c r="Q35" i="3"/>
  <c r="R35" i="3" s="1"/>
  <c r="S35" i="3" s="1"/>
  <c r="Q56" i="3"/>
  <c r="R56" i="3" s="1"/>
  <c r="S56" i="3" s="1"/>
  <c r="Q64" i="3"/>
  <c r="R64" i="3" s="1"/>
  <c r="S64" i="3" s="1"/>
  <c r="Q68" i="3"/>
  <c r="R68" i="3" s="1"/>
  <c r="S68" i="3" s="1"/>
  <c r="Q81" i="3"/>
  <c r="Q36" i="3"/>
  <c r="R36" i="3" s="1"/>
  <c r="S36" i="3" s="1"/>
  <c r="Q44" i="3"/>
  <c r="R44" i="3" s="1"/>
  <c r="S44" i="3" s="1"/>
  <c r="Q57" i="3"/>
  <c r="R57" i="3" s="1"/>
  <c r="S57" i="3" s="1"/>
  <c r="Q65" i="3"/>
  <c r="R65" i="3" s="1"/>
  <c r="S65" i="3" s="1"/>
  <c r="Q97" i="3"/>
  <c r="Q103" i="3"/>
  <c r="O31" i="1" l="1"/>
  <c r="R16" i="1"/>
  <c r="R17" i="1" s="1"/>
  <c r="R14" i="1"/>
  <c r="R15" i="1" s="1"/>
  <c r="R102" i="3"/>
  <c r="S102" i="3" s="1"/>
  <c r="P41" i="3"/>
  <c r="R41" i="3" s="1"/>
  <c r="S41" i="3" s="1"/>
  <c r="P96" i="3"/>
  <c r="R96" i="3" s="1"/>
  <c r="S96" i="3" s="1"/>
  <c r="P75" i="3"/>
  <c r="R75" i="3" s="1"/>
  <c r="S75" i="3" s="1"/>
  <c r="P104" i="3"/>
  <c r="R104" i="3" s="1"/>
  <c r="S104" i="3" s="1"/>
  <c r="P100" i="3"/>
  <c r="R100" i="3" s="1"/>
  <c r="S100" i="3" s="1"/>
  <c r="P78" i="3"/>
  <c r="R78" i="3" s="1"/>
  <c r="S78" i="3" s="1"/>
  <c r="P99" i="3"/>
  <c r="R99" i="3" s="1"/>
  <c r="S99" i="3" s="1"/>
  <c r="P103" i="3"/>
  <c r="R103" i="3" s="1"/>
  <c r="S103" i="3" s="1"/>
  <c r="P101" i="3"/>
  <c r="R101" i="3" s="1"/>
  <c r="S101" i="3" s="1"/>
  <c r="P106" i="3"/>
  <c r="R106" i="3" s="1"/>
  <c r="S106" i="3" s="1"/>
  <c r="P98" i="3"/>
  <c r="R98" i="3" s="1"/>
  <c r="S98" i="3" s="1"/>
  <c r="P89" i="3"/>
  <c r="R89" i="3" s="1"/>
  <c r="S89" i="3" s="1"/>
  <c r="P90" i="3"/>
  <c r="R90" i="3" s="1"/>
  <c r="S90" i="3" s="1"/>
  <c r="P105" i="3"/>
  <c r="R105" i="3" s="1"/>
  <c r="S105" i="3" s="1"/>
  <c r="P73" i="3"/>
  <c r="P97" i="3"/>
  <c r="R97" i="3" s="1"/>
  <c r="S97" i="3" s="1"/>
  <c r="P80" i="3"/>
  <c r="R80" i="3" s="1"/>
  <c r="S80" i="3" s="1"/>
  <c r="P81" i="3"/>
  <c r="R81" i="3" s="1"/>
  <c r="S81" i="3" s="1"/>
  <c r="P95" i="3"/>
  <c r="R95" i="3" s="1"/>
  <c r="S95" i="3" s="1"/>
  <c r="P110" i="3"/>
  <c r="R110" i="3" s="1"/>
  <c r="S110" i="3" s="1"/>
  <c r="P6" i="3"/>
  <c r="S6" i="3" s="1"/>
  <c r="S7" i="3" s="1"/>
  <c r="H15" i="10"/>
  <c r="I13" i="10"/>
  <c r="L13" i="10" s="1"/>
  <c r="K15" i="10" s="1"/>
  <c r="O107" i="1"/>
  <c r="Q107" i="1" s="1"/>
  <c r="R107" i="1" s="1"/>
  <c r="O100" i="1"/>
  <c r="Q100" i="1" s="1"/>
  <c r="R100" i="1" s="1"/>
  <c r="O104" i="1"/>
  <c r="Q104" i="1" s="1"/>
  <c r="R104" i="1" s="1"/>
  <c r="O106" i="1"/>
  <c r="Q106" i="1" s="1"/>
  <c r="R106" i="1" s="1"/>
  <c r="O71" i="1"/>
  <c r="Q71" i="1" s="1"/>
  <c r="O96" i="1"/>
  <c r="Q96" i="1" s="1"/>
  <c r="R96" i="1" s="1"/>
  <c r="O87" i="1"/>
  <c r="Q87" i="1" s="1"/>
  <c r="R87" i="1" s="1"/>
  <c r="O98" i="1"/>
  <c r="Q98" i="1" s="1"/>
  <c r="R98" i="1" s="1"/>
  <c r="O97" i="1"/>
  <c r="Q97" i="1" s="1"/>
  <c r="R97" i="1" s="1"/>
  <c r="O86" i="1"/>
  <c r="Q86" i="1" s="1"/>
  <c r="R86" i="1" s="1"/>
  <c r="O105" i="1"/>
  <c r="Q105" i="1" s="1"/>
  <c r="R105" i="1" s="1"/>
  <c r="O67" i="1"/>
  <c r="O99" i="1"/>
  <c r="Q99" i="1" s="1"/>
  <c r="R99" i="1" s="1"/>
  <c r="O88" i="1"/>
  <c r="Q88" i="1" s="1"/>
  <c r="R88" i="1" s="1"/>
  <c r="O68" i="1"/>
  <c r="Q68" i="1" s="1"/>
  <c r="R68" i="1" s="1"/>
  <c r="R23" i="1"/>
  <c r="H29" i="9"/>
  <c r="Q23" i="1"/>
  <c r="O26" i="1"/>
  <c r="I9" i="3"/>
  <c r="M62" i="1"/>
  <c r="O62" i="1" s="1"/>
  <c r="M19" i="3"/>
  <c r="R54" i="1"/>
  <c r="G33" i="9" s="1"/>
  <c r="Q54" i="1"/>
  <c r="I19" i="3"/>
  <c r="L9" i="3"/>
  <c r="M8" i="3"/>
  <c r="M9" i="3" s="1"/>
  <c r="L19" i="3"/>
  <c r="S67" i="3"/>
  <c r="R67" i="3"/>
  <c r="P10" i="3"/>
  <c r="P11" i="3" s="1"/>
  <c r="N11" i="3"/>
  <c r="N109" i="3"/>
  <c r="M111" i="3"/>
  <c r="P14" i="3"/>
  <c r="N15" i="3"/>
  <c r="L54" i="1"/>
  <c r="M54" i="1"/>
  <c r="M9" i="1"/>
  <c r="O8" i="1"/>
  <c r="M42" i="3"/>
  <c r="N34" i="3"/>
  <c r="M80" i="1"/>
  <c r="L94" i="1"/>
  <c r="N107" i="3"/>
  <c r="M108" i="1"/>
  <c r="M107" i="3"/>
  <c r="L108" i="1"/>
  <c r="M102" i="1"/>
  <c r="L102" i="1"/>
  <c r="M91" i="3"/>
  <c r="N71" i="3"/>
  <c r="L22" i="3"/>
  <c r="K110" i="1"/>
  <c r="K111" i="1" s="1"/>
  <c r="G4" i="2" s="1"/>
  <c r="L73" i="1"/>
  <c r="R71" i="1" l="1"/>
  <c r="P7" i="3"/>
  <c r="P34" i="3"/>
  <c r="R34" i="3" s="1"/>
  <c r="P71" i="3"/>
  <c r="R71" i="3" s="1"/>
  <c r="S71" i="3" s="1"/>
  <c r="R73" i="3"/>
  <c r="S73" i="3" s="1"/>
  <c r="P109" i="3"/>
  <c r="R109" i="3" s="1"/>
  <c r="S109" i="3" s="1"/>
  <c r="L113" i="3"/>
  <c r="L114" i="3" s="1"/>
  <c r="E4" i="4" s="1"/>
  <c r="H17" i="10"/>
  <c r="I15" i="10"/>
  <c r="L15" i="10" s="1"/>
  <c r="K17" i="10" s="1"/>
  <c r="K19" i="10" s="1"/>
  <c r="K21" i="10" s="1"/>
  <c r="K23" i="10" s="1"/>
  <c r="K25" i="10" s="1"/>
  <c r="K27" i="10" s="1"/>
  <c r="K29" i="10" s="1"/>
  <c r="M73" i="1"/>
  <c r="Q67" i="1"/>
  <c r="R67" i="1" s="1"/>
  <c r="O80" i="1"/>
  <c r="Q80" i="1" s="1"/>
  <c r="Q62" i="1"/>
  <c r="H33" i="9"/>
  <c r="G53" i="10"/>
  <c r="G49" i="10"/>
  <c r="G45" i="10"/>
  <c r="G41" i="10"/>
  <c r="G37" i="10"/>
  <c r="P42" i="3"/>
  <c r="S10" i="3"/>
  <c r="S11" i="3" s="1"/>
  <c r="N111" i="3"/>
  <c r="N91" i="3"/>
  <c r="P107" i="3"/>
  <c r="P15" i="3"/>
  <c r="S14" i="3"/>
  <c r="S15" i="3" s="1"/>
  <c r="O9" i="1"/>
  <c r="Q8" i="1"/>
  <c r="I22" i="3"/>
  <c r="I113" i="3" s="1"/>
  <c r="I114" i="3" s="1"/>
  <c r="M22" i="3"/>
  <c r="M113" i="3" s="1"/>
  <c r="M114" i="3" s="1"/>
  <c r="O102" i="1"/>
  <c r="M94" i="1"/>
  <c r="L110" i="1"/>
  <c r="L111" i="1" s="1"/>
  <c r="N42" i="3"/>
  <c r="O108" i="1"/>
  <c r="O73" i="1"/>
  <c r="O94" i="1" l="1"/>
  <c r="S34" i="3"/>
  <c r="R42" i="3"/>
  <c r="M110" i="1"/>
  <c r="M111" i="1" s="1"/>
  <c r="I17" i="10"/>
  <c r="L17" i="10" s="1"/>
  <c r="H19" i="10"/>
  <c r="R80" i="1"/>
  <c r="R62" i="1"/>
  <c r="R73" i="1" s="1"/>
  <c r="S42" i="3"/>
  <c r="G33" i="10" s="1"/>
  <c r="E6" i="4"/>
  <c r="O110" i="1"/>
  <c r="O111" i="1" s="1"/>
  <c r="N113" i="3"/>
  <c r="N114" i="3" s="1"/>
  <c r="S107" i="3"/>
  <c r="R107" i="3"/>
  <c r="P111" i="3"/>
  <c r="P91" i="3"/>
  <c r="Q94" i="1"/>
  <c r="R8" i="1"/>
  <c r="R9" i="1" s="1"/>
  <c r="Q9" i="1"/>
  <c r="Q102" i="1"/>
  <c r="R102" i="1"/>
  <c r="Q108" i="1"/>
  <c r="R108" i="1"/>
  <c r="Q73" i="1"/>
  <c r="I19" i="10" l="1"/>
  <c r="L19" i="10" s="1"/>
  <c r="H21" i="10"/>
  <c r="F8" i="2"/>
  <c r="E8" i="4"/>
  <c r="G81" i="9"/>
  <c r="G77" i="9"/>
  <c r="G89" i="9"/>
  <c r="G85" i="9"/>
  <c r="Q110" i="1"/>
  <c r="Q111" i="1" s="1"/>
  <c r="G37" i="9"/>
  <c r="H37" i="9" s="1"/>
  <c r="G53" i="9"/>
  <c r="G49" i="9"/>
  <c r="G45" i="9"/>
  <c r="G41" i="9"/>
  <c r="G85" i="10"/>
  <c r="G81" i="10"/>
  <c r="G77" i="10"/>
  <c r="G89" i="10"/>
  <c r="P113" i="3"/>
  <c r="P114" i="3" s="1"/>
  <c r="E10" i="4" s="1"/>
  <c r="R94" i="1"/>
  <c r="D8" i="4"/>
  <c r="S111" i="3"/>
  <c r="F18" i="2"/>
  <c r="G10" i="2"/>
  <c r="G6" i="2"/>
  <c r="G8" i="2" s="1"/>
  <c r="I21" i="10" l="1"/>
  <c r="L21" i="10" s="1"/>
  <c r="H23" i="10"/>
  <c r="R111" i="3"/>
  <c r="H41" i="9"/>
  <c r="H45" i="9" s="1"/>
  <c r="H49" i="9" s="1"/>
  <c r="H53" i="9" s="1"/>
  <c r="G57" i="9"/>
  <c r="G73" i="9"/>
  <c r="G69" i="9"/>
  <c r="G65" i="9"/>
  <c r="G61" i="9"/>
  <c r="R110" i="1"/>
  <c r="R111" i="1" s="1"/>
  <c r="R91" i="3"/>
  <c r="R113" i="3" s="1"/>
  <c r="F26" i="2"/>
  <c r="F44" i="2" s="1"/>
  <c r="F48" i="2" s="1"/>
  <c r="F49" i="2" s="1"/>
  <c r="F24" i="2"/>
  <c r="G12" i="2"/>
  <c r="G14" i="2" s="1"/>
  <c r="G18" i="2" s="1"/>
  <c r="H25" i="10" l="1"/>
  <c r="I23" i="10"/>
  <c r="L23" i="10" s="1"/>
  <c r="R114" i="3"/>
  <c r="E12" i="4" s="1"/>
  <c r="E18" i="4" s="1"/>
  <c r="G91" i="9"/>
  <c r="G97" i="9" s="1"/>
  <c r="H57" i="9"/>
  <c r="H61" i="9" s="1"/>
  <c r="H65" i="9" s="1"/>
  <c r="H69" i="9" s="1"/>
  <c r="H73" i="9" s="1"/>
  <c r="H77" i="9" s="1"/>
  <c r="H81" i="9" s="1"/>
  <c r="H85" i="9" s="1"/>
  <c r="H89" i="9" s="1"/>
  <c r="D18" i="4"/>
  <c r="K58" i="2"/>
  <c r="S91" i="3"/>
  <c r="S113" i="3" s="1"/>
  <c r="S114" i="3" s="1"/>
  <c r="F42" i="2"/>
  <c r="F40" i="2"/>
  <c r="G26" i="2"/>
  <c r="G44" i="2" s="1"/>
  <c r="G48" i="2" s="1"/>
  <c r="G24" i="2"/>
  <c r="H27" i="10" l="1"/>
  <c r="I25" i="10"/>
  <c r="L25" i="10" s="1"/>
  <c r="E26" i="4"/>
  <c r="E44" i="4" s="1"/>
  <c r="E48" i="4" s="1"/>
  <c r="E84" i="10" s="1"/>
  <c r="E24" i="4"/>
  <c r="E42" i="4" s="1"/>
  <c r="G69" i="10"/>
  <c r="G73" i="10"/>
  <c r="G65" i="10"/>
  <c r="G61" i="10"/>
  <c r="G57" i="10"/>
  <c r="G49" i="2"/>
  <c r="L58" i="2" s="1"/>
  <c r="E40" i="9"/>
  <c r="E88" i="9"/>
  <c r="E76" i="9"/>
  <c r="E60" i="9"/>
  <c r="E44" i="9"/>
  <c r="E72" i="9"/>
  <c r="E64" i="9"/>
  <c r="E56" i="9"/>
  <c r="E84" i="9"/>
  <c r="E68" i="9"/>
  <c r="E52" i="9"/>
  <c r="E36" i="9"/>
  <c r="E48" i="9"/>
  <c r="E80" i="9"/>
  <c r="E32" i="9"/>
  <c r="D24" i="4"/>
  <c r="D26" i="4"/>
  <c r="D44" i="4" s="1"/>
  <c r="D48" i="4" s="1"/>
  <c r="K56" i="2"/>
  <c r="D12" i="11"/>
  <c r="K57" i="2"/>
  <c r="G42" i="2"/>
  <c r="G40" i="2"/>
  <c r="H29" i="10" l="1"/>
  <c r="H33" i="10" s="1"/>
  <c r="H37" i="10" s="1"/>
  <c r="H41" i="10" s="1"/>
  <c r="H45" i="10" s="1"/>
  <c r="H49" i="10" s="1"/>
  <c r="H53" i="10" s="1"/>
  <c r="I27" i="10"/>
  <c r="L27" i="10" s="1"/>
  <c r="E44" i="10"/>
  <c r="E76" i="10"/>
  <c r="E60" i="10"/>
  <c r="E49" i="4"/>
  <c r="E11" i="11" s="1"/>
  <c r="E56" i="10"/>
  <c r="E40" i="10"/>
  <c r="E72" i="10"/>
  <c r="E88" i="10"/>
  <c r="E32" i="10"/>
  <c r="E64" i="10"/>
  <c r="E80" i="10"/>
  <c r="E52" i="10"/>
  <c r="E48" i="10"/>
  <c r="E36" i="10"/>
  <c r="E68" i="10"/>
  <c r="J42" i="4"/>
  <c r="E40" i="4"/>
  <c r="E82" i="10" s="1"/>
  <c r="G91" i="10"/>
  <c r="G97" i="10" s="1"/>
  <c r="H57" i="10"/>
  <c r="H61" i="10" s="1"/>
  <c r="H65" i="10" s="1"/>
  <c r="H69" i="10" s="1"/>
  <c r="H73" i="10" s="1"/>
  <c r="H77" i="10" s="1"/>
  <c r="H81" i="10" s="1"/>
  <c r="H85" i="10" s="1"/>
  <c r="H89" i="10" s="1"/>
  <c r="E10" i="11"/>
  <c r="E71" i="10"/>
  <c r="E55" i="10"/>
  <c r="E39" i="10"/>
  <c r="E83" i="10"/>
  <c r="E67" i="10"/>
  <c r="E51" i="10"/>
  <c r="E35" i="10"/>
  <c r="E79" i="10"/>
  <c r="E63" i="10"/>
  <c r="E47" i="10"/>
  <c r="E31" i="10"/>
  <c r="E75" i="10"/>
  <c r="E59" i="10"/>
  <c r="E43" i="10"/>
  <c r="E87" i="10"/>
  <c r="E78" i="9"/>
  <c r="E62" i="9"/>
  <c r="E46" i="9"/>
  <c r="E58" i="9"/>
  <c r="E30" i="9"/>
  <c r="E74" i="9"/>
  <c r="E86" i="9"/>
  <c r="E70" i="9"/>
  <c r="E54" i="9"/>
  <c r="E38" i="9"/>
  <c r="E82" i="9"/>
  <c r="E66" i="9"/>
  <c r="E50" i="9"/>
  <c r="E34" i="9"/>
  <c r="E42" i="9"/>
  <c r="E79" i="9"/>
  <c r="E63" i="9"/>
  <c r="E47" i="9"/>
  <c r="E39" i="9"/>
  <c r="E31" i="9"/>
  <c r="E59" i="9"/>
  <c r="E75" i="9"/>
  <c r="E43" i="9"/>
  <c r="E71" i="9"/>
  <c r="E83" i="9"/>
  <c r="E51" i="9"/>
  <c r="E67" i="9"/>
  <c r="E35" i="9"/>
  <c r="E87" i="9"/>
  <c r="E55" i="9"/>
  <c r="E8" i="11"/>
  <c r="I42" i="4"/>
  <c r="D49" i="4"/>
  <c r="D40" i="4"/>
  <c r="D42" i="4"/>
  <c r="L56" i="2"/>
  <c r="E6" i="11"/>
  <c r="E12" i="11" s="1"/>
  <c r="L57" i="2"/>
  <c r="E7" i="11"/>
  <c r="E13" i="11" s="1"/>
  <c r="J41" i="4"/>
  <c r="J45" i="4" s="1"/>
  <c r="L60" i="2"/>
  <c r="L63" i="2" l="1"/>
  <c r="L62" i="2"/>
  <c r="L61" i="2"/>
  <c r="J43" i="4"/>
  <c r="E38" i="10"/>
  <c r="E41" i="10" s="1"/>
  <c r="E58" i="10"/>
  <c r="E61" i="10" s="1"/>
  <c r="E57" i="9"/>
  <c r="E54" i="10"/>
  <c r="E57" i="10" s="1"/>
  <c r="E42" i="10"/>
  <c r="E45" i="10" s="1"/>
  <c r="E70" i="10"/>
  <c r="E73" i="10" s="1"/>
  <c r="E30" i="10"/>
  <c r="E33" i="10" s="1"/>
  <c r="E9" i="11"/>
  <c r="E15" i="11" s="1"/>
  <c r="E46" i="10"/>
  <c r="E49" i="10" s="1"/>
  <c r="E50" i="10"/>
  <c r="E53" i="10" s="1"/>
  <c r="E66" i="10"/>
  <c r="E69" i="10" s="1"/>
  <c r="E74" i="10"/>
  <c r="E77" i="10" s="1"/>
  <c r="E86" i="10"/>
  <c r="E89" i="10" s="1"/>
  <c r="E62" i="10"/>
  <c r="E65" i="10" s="1"/>
  <c r="E78" i="10"/>
  <c r="E81" i="10" s="1"/>
  <c r="E34" i="10"/>
  <c r="E37" i="10" s="1"/>
  <c r="L59" i="2"/>
  <c r="J40" i="4"/>
  <c r="E41" i="9"/>
  <c r="E85" i="9"/>
  <c r="E73" i="9"/>
  <c r="E45" i="9"/>
  <c r="E85" i="10"/>
  <c r="E29" i="10"/>
  <c r="F29" i="10" s="1"/>
  <c r="E37" i="9"/>
  <c r="E89" i="9"/>
  <c r="E77" i="9"/>
  <c r="E33" i="9"/>
  <c r="E61" i="9"/>
  <c r="E49" i="9"/>
  <c r="E53" i="9"/>
  <c r="E65" i="9"/>
  <c r="E29" i="9"/>
  <c r="F29" i="9" s="1"/>
  <c r="E69" i="9"/>
  <c r="E81" i="9"/>
  <c r="I41" i="4"/>
  <c r="K60" i="2"/>
  <c r="I40" i="4"/>
  <c r="I44" i="4" s="1"/>
  <c r="K59" i="2"/>
  <c r="I43" i="4"/>
  <c r="K61" i="2"/>
  <c r="E91" i="10" l="1"/>
  <c r="E91" i="9"/>
  <c r="F33" i="10"/>
  <c r="I29" i="10"/>
  <c r="L29" i="10" s="1"/>
  <c r="I29" i="9"/>
  <c r="L29" i="9" s="1"/>
  <c r="F33" i="9"/>
  <c r="J44" i="4"/>
  <c r="D14" i="11"/>
  <c r="E14" i="11"/>
  <c r="I33" i="10" l="1"/>
  <c r="J33" i="10" s="1"/>
  <c r="K33" i="10" s="1"/>
  <c r="L33" i="10" s="1"/>
  <c r="F37" i="10"/>
  <c r="I33" i="9"/>
  <c r="J33" i="9" s="1"/>
  <c r="K33" i="9" s="1"/>
  <c r="L33" i="9" s="1"/>
  <c r="F37" i="9"/>
  <c r="I37" i="10" l="1"/>
  <c r="J37" i="10" s="1"/>
  <c r="K37" i="10" s="1"/>
  <c r="L37" i="10" s="1"/>
  <c r="F41" i="10"/>
  <c r="I37" i="9"/>
  <c r="J37" i="9" s="1"/>
  <c r="K37" i="9" s="1"/>
  <c r="L37" i="9" s="1"/>
  <c r="F41" i="9"/>
  <c r="I41" i="10" l="1"/>
  <c r="J41" i="10" s="1"/>
  <c r="K41" i="10" s="1"/>
  <c r="L41" i="10" s="1"/>
  <c r="F45" i="10"/>
  <c r="F45" i="9"/>
  <c r="I41" i="9"/>
  <c r="J41" i="9" s="1"/>
  <c r="K41" i="9" s="1"/>
  <c r="L41" i="9" s="1"/>
  <c r="I45" i="10" l="1"/>
  <c r="J45" i="10" s="1"/>
  <c r="K45" i="10" s="1"/>
  <c r="L45" i="10" s="1"/>
  <c r="F49" i="10"/>
  <c r="I45" i="9"/>
  <c r="J45" i="9" s="1"/>
  <c r="K45" i="9" s="1"/>
  <c r="L45" i="9" s="1"/>
  <c r="F49" i="9"/>
  <c r="F53" i="10" l="1"/>
  <c r="I49" i="10"/>
  <c r="J49" i="10" s="1"/>
  <c r="K49" i="10" s="1"/>
  <c r="L49" i="10" s="1"/>
  <c r="F53" i="9"/>
  <c r="I49" i="9"/>
  <c r="J49" i="9" s="1"/>
  <c r="K49" i="9" s="1"/>
  <c r="L49" i="9" s="1"/>
  <c r="F57" i="10" l="1"/>
  <c r="I53" i="10"/>
  <c r="J53" i="10" s="1"/>
  <c r="K53" i="10" s="1"/>
  <c r="L53" i="10" s="1"/>
  <c r="I53" i="9"/>
  <c r="J53" i="9" s="1"/>
  <c r="K53" i="9" s="1"/>
  <c r="L53" i="9" s="1"/>
  <c r="F57" i="9"/>
  <c r="F61" i="10" l="1"/>
  <c r="I57" i="10"/>
  <c r="J57" i="10" s="1"/>
  <c r="K57" i="10" s="1"/>
  <c r="L57" i="10" s="1"/>
  <c r="I57" i="9"/>
  <c r="J57" i="9" s="1"/>
  <c r="K57" i="9" s="1"/>
  <c r="L57" i="9" s="1"/>
  <c r="F61" i="9"/>
  <c r="F65" i="10" l="1"/>
  <c r="I61" i="10"/>
  <c r="J61" i="10" s="1"/>
  <c r="K61" i="10" s="1"/>
  <c r="L61" i="10" s="1"/>
  <c r="F65" i="9"/>
  <c r="I61" i="9"/>
  <c r="J61" i="9" s="1"/>
  <c r="K61" i="9" s="1"/>
  <c r="L61" i="9" s="1"/>
  <c r="I65" i="10" l="1"/>
  <c r="J65" i="10" s="1"/>
  <c r="K65" i="10" s="1"/>
  <c r="L65" i="10" s="1"/>
  <c r="F69" i="10"/>
  <c r="I65" i="9"/>
  <c r="J65" i="9" s="1"/>
  <c r="K65" i="9" s="1"/>
  <c r="L65" i="9" s="1"/>
  <c r="F69" i="9"/>
  <c r="I69" i="10" l="1"/>
  <c r="J69" i="10" s="1"/>
  <c r="K69" i="10" s="1"/>
  <c r="L69" i="10" s="1"/>
  <c r="F73" i="10"/>
  <c r="F73" i="9"/>
  <c r="I69" i="9"/>
  <c r="J69" i="9" s="1"/>
  <c r="K69" i="9" s="1"/>
  <c r="L69" i="9" s="1"/>
  <c r="F77" i="10" l="1"/>
  <c r="I73" i="10"/>
  <c r="J73" i="10" s="1"/>
  <c r="K73" i="10" s="1"/>
  <c r="L73" i="10" s="1"/>
  <c r="F77" i="9"/>
  <c r="I73" i="9"/>
  <c r="J73" i="9" s="1"/>
  <c r="K73" i="9" s="1"/>
  <c r="L73" i="9" s="1"/>
  <c r="F81" i="10" l="1"/>
  <c r="I77" i="10"/>
  <c r="J77" i="10" s="1"/>
  <c r="K77" i="10" s="1"/>
  <c r="L77" i="10" s="1"/>
  <c r="F81" i="9"/>
  <c r="I77" i="9"/>
  <c r="J77" i="9" s="1"/>
  <c r="K77" i="9" s="1"/>
  <c r="L77" i="9" s="1"/>
  <c r="I81" i="10" l="1"/>
  <c r="J81" i="10" s="1"/>
  <c r="K81" i="10" s="1"/>
  <c r="L81" i="10" s="1"/>
  <c r="F85" i="10"/>
  <c r="F85" i="9"/>
  <c r="I81" i="9"/>
  <c r="J81" i="9" s="1"/>
  <c r="K81" i="9" s="1"/>
  <c r="L81" i="9" s="1"/>
  <c r="I85" i="10" l="1"/>
  <c r="J85" i="10" s="1"/>
  <c r="K85" i="10" s="1"/>
  <c r="L85" i="10" s="1"/>
  <c r="F89" i="10"/>
  <c r="F89" i="9"/>
  <c r="I85" i="9"/>
  <c r="J85" i="9" s="1"/>
  <c r="K85" i="9" s="1"/>
  <c r="L85" i="9" s="1"/>
  <c r="I89" i="10" l="1"/>
  <c r="J89" i="10" s="1"/>
  <c r="K89" i="10" s="1"/>
  <c r="L89" i="10" s="1"/>
  <c r="I89" i="9"/>
  <c r="J89" i="9" s="1"/>
  <c r="K89" i="9" s="1"/>
  <c r="L89" i="9" s="1"/>
  <c r="G95" i="10" l="1"/>
  <c r="G9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tc={21F3B83B-FE60-4E3E-88C2-EEBAA15C6FF5}</author>
  </authors>
  <commentList>
    <comment ref="N26" authorId="0" shapeId="0" xr:uid="{21F3B83B-FE60-4E3E-88C2-EEBAA15C6FF5}">
      <text>
        <t>[Threaded comment]
Your version of Excel allows you to read this threaded comment; however, any edits to it will get removed if the file is opened in a newer version of Excel. Learn more: https://go.microsoft.com/fwlink/?linkid=870924
Comment:
    @Heather Miller @Josh DeYoung @Louis de Montbrun 
Heather - any info on the costs and BTE? For cells 26-30</t>
      </text>
    </comment>
  </commentList>
</comments>
</file>

<file path=xl/sharedStrings.xml><?xml version="1.0" encoding="utf-8"?>
<sst xmlns="http://schemas.openxmlformats.org/spreadsheetml/2006/main" count="2019" uniqueCount="943">
  <si>
    <t>Canadian Overnight Repo Rate Average</t>
  </si>
  <si>
    <t>Summary</t>
  </si>
  <si>
    <t>Date</t>
  </si>
  <si>
    <t>Low</t>
  </si>
  <si>
    <t>Canadian Overnight Repo Rate Average (CORRA) - Bank of Canada</t>
  </si>
  <si>
    <t>High</t>
  </si>
  <si>
    <t>10 year Average</t>
  </si>
  <si>
    <t>Rate</t>
  </si>
  <si>
    <t>2012-01</t>
  </si>
  <si>
    <t>2015-01</t>
  </si>
  <si>
    <t>2018-01</t>
  </si>
  <si>
    <t>2021-01</t>
  </si>
  <si>
    <t>2012-02</t>
  </si>
  <si>
    <t>2015-02</t>
  </si>
  <si>
    <t>2018-02</t>
  </si>
  <si>
    <t>2021-02</t>
  </si>
  <si>
    <t>2012-03</t>
  </si>
  <si>
    <t>2015-03</t>
  </si>
  <si>
    <t>2018-03</t>
  </si>
  <si>
    <t>2021-03</t>
  </si>
  <si>
    <t>2012-04</t>
  </si>
  <si>
    <t>2015-04</t>
  </si>
  <si>
    <t>2018-04</t>
  </si>
  <si>
    <t>2021-04</t>
  </si>
  <si>
    <t>2012-05</t>
  </si>
  <si>
    <t>2015-05</t>
  </si>
  <si>
    <t>2018-05</t>
  </si>
  <si>
    <t>2021-05</t>
  </si>
  <si>
    <t>2012-06</t>
  </si>
  <si>
    <t>2015-06</t>
  </si>
  <si>
    <t>2018-06</t>
  </si>
  <si>
    <t>2021-06</t>
  </si>
  <si>
    <t>2012-07</t>
  </si>
  <si>
    <t>2015-07</t>
  </si>
  <si>
    <t>2018-07</t>
  </si>
  <si>
    <t>2021-07</t>
  </si>
  <si>
    <t>2012-08</t>
  </si>
  <si>
    <t>2015-08</t>
  </si>
  <si>
    <t>2018-08</t>
  </si>
  <si>
    <t>2021-08</t>
  </si>
  <si>
    <t>2012-09</t>
  </si>
  <si>
    <t>2015-09</t>
  </si>
  <si>
    <t>2018-09</t>
  </si>
  <si>
    <t>2021-09</t>
  </si>
  <si>
    <t>2012-10</t>
  </si>
  <si>
    <t>2015-10</t>
  </si>
  <si>
    <t>2018-10</t>
  </si>
  <si>
    <t>2021-10</t>
  </si>
  <si>
    <t>2012-11</t>
  </si>
  <si>
    <t>2015-11</t>
  </si>
  <si>
    <t>2018-11</t>
  </si>
  <si>
    <t>2021-11</t>
  </si>
  <si>
    <t>2012-12</t>
  </si>
  <si>
    <t>2015-12</t>
  </si>
  <si>
    <t>2018-12</t>
  </si>
  <si>
    <t>2021-12</t>
  </si>
  <si>
    <t>2013-01</t>
  </si>
  <si>
    <t>2016-01</t>
  </si>
  <si>
    <t>2019-01</t>
  </si>
  <si>
    <t>2022-01</t>
  </si>
  <si>
    <t>2013-02</t>
  </si>
  <si>
    <t>2016-02</t>
  </si>
  <si>
    <t>2019-02</t>
  </si>
  <si>
    <t>2022-02</t>
  </si>
  <si>
    <t>2013-03</t>
  </si>
  <si>
    <t>2016-03</t>
  </si>
  <si>
    <t>2019-03</t>
  </si>
  <si>
    <t>2022-03</t>
  </si>
  <si>
    <t>2013-04</t>
  </si>
  <si>
    <t>2016-04</t>
  </si>
  <si>
    <t>2019-04</t>
  </si>
  <si>
    <t>2022-04</t>
  </si>
  <si>
    <t>2013-05</t>
  </si>
  <si>
    <t>2016-05</t>
  </si>
  <si>
    <t>2019-05</t>
  </si>
  <si>
    <t>2022-05</t>
  </si>
  <si>
    <t>2013-06</t>
  </si>
  <si>
    <t>2016-06</t>
  </si>
  <si>
    <t>2019-06</t>
  </si>
  <si>
    <t>2022-06</t>
  </si>
  <si>
    <t>2013-07</t>
  </si>
  <si>
    <t>2016-07</t>
  </si>
  <si>
    <t>2019-07</t>
  </si>
  <si>
    <t>2022-07</t>
  </si>
  <si>
    <t>2013-08</t>
  </si>
  <si>
    <t>2016-08</t>
  </si>
  <si>
    <t>2019-08</t>
  </si>
  <si>
    <t>2022-08</t>
  </si>
  <si>
    <t>2013-09</t>
  </si>
  <si>
    <t>2016-09</t>
  </si>
  <si>
    <t>2019-09</t>
  </si>
  <si>
    <t>2022-09</t>
  </si>
  <si>
    <t>2013-10</t>
  </si>
  <si>
    <t>2016-10</t>
  </si>
  <si>
    <t>2019-10</t>
  </si>
  <si>
    <t>2022-10</t>
  </si>
  <si>
    <t>2013-11</t>
  </si>
  <si>
    <t>2016-11</t>
  </si>
  <si>
    <t>2019-11</t>
  </si>
  <si>
    <t>2022-11</t>
  </si>
  <si>
    <t>2013-12</t>
  </si>
  <si>
    <t>2016-12</t>
  </si>
  <si>
    <t>2019-12</t>
  </si>
  <si>
    <t>2022-12</t>
  </si>
  <si>
    <t>2014-01</t>
  </si>
  <si>
    <t>2017-01</t>
  </si>
  <si>
    <t>2020-01</t>
  </si>
  <si>
    <t>2023-01</t>
  </si>
  <si>
    <t>2014-02</t>
  </si>
  <si>
    <t>2017-02</t>
  </si>
  <si>
    <t>2020-02</t>
  </si>
  <si>
    <t>2023-02</t>
  </si>
  <si>
    <t>2014-03</t>
  </si>
  <si>
    <t>2017-03</t>
  </si>
  <si>
    <t>2020-03</t>
  </si>
  <si>
    <t>2023-03</t>
  </si>
  <si>
    <t>2014-04</t>
  </si>
  <si>
    <t>2017-04</t>
  </si>
  <si>
    <t>2020-04</t>
  </si>
  <si>
    <t>2023-04</t>
  </si>
  <si>
    <t>2014-05</t>
  </si>
  <si>
    <t>2017-05</t>
  </si>
  <si>
    <t>2020-05</t>
  </si>
  <si>
    <t>2023-05</t>
  </si>
  <si>
    <t>2014-06</t>
  </si>
  <si>
    <t>2017-06</t>
  </si>
  <si>
    <t>2020-06</t>
  </si>
  <si>
    <t>2023-06</t>
  </si>
  <si>
    <t>2014-07</t>
  </si>
  <si>
    <t>2017-07</t>
  </si>
  <si>
    <t>2020-07</t>
  </si>
  <si>
    <t>2023-07</t>
  </si>
  <si>
    <t>2014-08</t>
  </si>
  <si>
    <t>2017-08</t>
  </si>
  <si>
    <t>2020-08</t>
  </si>
  <si>
    <t>2023-08</t>
  </si>
  <si>
    <t>2014-09</t>
  </si>
  <si>
    <t>2017-09</t>
  </si>
  <si>
    <t>2020-09</t>
  </si>
  <si>
    <t>2023-09</t>
  </si>
  <si>
    <t>2014-10</t>
  </si>
  <si>
    <t>2017-10</t>
  </si>
  <si>
    <t>2020-10</t>
  </si>
  <si>
    <t>2023-10</t>
  </si>
  <si>
    <t>2014-11</t>
  </si>
  <si>
    <t>2017-11</t>
  </si>
  <si>
    <t>2020-11</t>
  </si>
  <si>
    <t>2023-11</t>
  </si>
  <si>
    <t>2014-12</t>
  </si>
  <si>
    <t>2017-12</t>
  </si>
  <si>
    <t>2020-12</t>
  </si>
  <si>
    <t>2023-12</t>
  </si>
  <si>
    <t>10 year average</t>
  </si>
  <si>
    <t>Plus 0.75%</t>
  </si>
  <si>
    <t>Average 2012-2017</t>
  </si>
  <si>
    <t>Selected Bond Yields</t>
  </si>
  <si>
    <t>Monthly series: 2013-04 - 2024-04</t>
  </si>
  <si>
    <t>V122543 = Government of Canada benchmark bond yields - 10 year</t>
  </si>
  <si>
    <t>V122543</t>
  </si>
  <si>
    <t>Canadian Bond Yields: 10-Year Lookup - Bank of Canada</t>
  </si>
  <si>
    <t>Average</t>
  </si>
  <si>
    <t>Average +0.75% Risk</t>
  </si>
  <si>
    <t>2024-04</t>
  </si>
  <si>
    <t>2024-03</t>
  </si>
  <si>
    <t>2024-02</t>
  </si>
  <si>
    <t>2024-01</t>
  </si>
  <si>
    <t>0.75 % Risk Add</t>
  </si>
  <si>
    <t>Stats Can Non-Res Construction</t>
  </si>
  <si>
    <t>Year</t>
  </si>
  <si>
    <t>Canada Index value as at Q4</t>
  </si>
  <si>
    <t>Halifax Index value as at Q4</t>
  </si>
  <si>
    <t>Canada Percentage change</t>
  </si>
  <si>
    <t>Halifax Percentage change</t>
  </si>
  <si>
    <t>Q4 2001</t>
  </si>
  <si>
    <t>Q4 2002</t>
  </si>
  <si>
    <t>Building construction price indexes, by type of building (statcan.gc.ca)</t>
  </si>
  <si>
    <t>Q4 2003</t>
  </si>
  <si>
    <t>Q4 2004</t>
  </si>
  <si>
    <t>Q4 2005</t>
  </si>
  <si>
    <t>Q4 2006</t>
  </si>
  <si>
    <t>Q4 2007</t>
  </si>
  <si>
    <t>Q4 2008</t>
  </si>
  <si>
    <t>Q4 2009</t>
  </si>
  <si>
    <t>Q4 2010</t>
  </si>
  <si>
    <t>Q4 2011</t>
  </si>
  <si>
    <t>Q4 2012</t>
  </si>
  <si>
    <t>Q4 2013</t>
  </si>
  <si>
    <t>Q4 2014</t>
  </si>
  <si>
    <t>Q4 2015</t>
  </si>
  <si>
    <t>Q4 2016</t>
  </si>
  <si>
    <t>Q4 2017</t>
  </si>
  <si>
    <t>Q4 2018</t>
  </si>
  <si>
    <t>Q4 2019</t>
  </si>
  <si>
    <t>Q4 2020</t>
  </si>
  <si>
    <t>Q4 2021</t>
  </si>
  <si>
    <t>Q4 2022</t>
  </si>
  <si>
    <t>Q4 2023</t>
  </si>
  <si>
    <t>Canada</t>
  </si>
  <si>
    <t>Halifax</t>
  </si>
  <si>
    <t>Combined</t>
  </si>
  <si>
    <t>Twenty year average</t>
  </si>
  <si>
    <t>Five year average</t>
  </si>
  <si>
    <t>Average of 5 and 20</t>
  </si>
  <si>
    <t>Note:</t>
  </si>
  <si>
    <t xml:space="preserve"> - StatsCan publishes data quarterly</t>
  </si>
  <si>
    <t xml:space="preserve"> - Used averages of the 4th quarter indexes</t>
  </si>
  <si>
    <t xml:space="preserve"> - ENR no longer publishes construction inflation rates for Toronto &amp; Montreal, as previously utilized</t>
  </si>
  <si>
    <t>Annual Average Index</t>
  </si>
  <si>
    <t>Percentage change</t>
  </si>
  <si>
    <t>Data Link</t>
  </si>
  <si>
    <t>Consumer Price Index, annual average, not seasonally adjusted (statcan.gc.ca)</t>
  </si>
  <si>
    <t>Population Projections</t>
  </si>
  <si>
    <t>Start Date</t>
  </si>
  <si>
    <t>End Date</t>
  </si>
  <si>
    <t>Period (years)</t>
  </si>
  <si>
    <t>Residential Growth (people)</t>
  </si>
  <si>
    <t>Residential Growth (units)</t>
  </si>
  <si>
    <t>Residential Growth
(singles unit dwelling &amp; townhouses)</t>
  </si>
  <si>
    <t>Residential Growth
 (multi-unit dwellings)</t>
  </si>
  <si>
    <t>Residential Growth
(cumulative people)</t>
  </si>
  <si>
    <t>Employment Growth
(PE)</t>
  </si>
  <si>
    <t>Employment Growth (equivalent area sq.ft.)</t>
  </si>
  <si>
    <t>Employment
PE Growth
(cumulative PE)</t>
  </si>
  <si>
    <t xml:space="preserve">Total </t>
  </si>
  <si>
    <t>Integrated Master Plan - Population</t>
  </si>
  <si>
    <t>Assumptions, NSUARB decision document #280268 dated February 12, 2021</t>
  </si>
  <si>
    <t>Time period</t>
  </si>
  <si>
    <t>30 years</t>
  </si>
  <si>
    <t>people per unit (PPU)</t>
  </si>
  <si>
    <t>Residential growth</t>
  </si>
  <si>
    <t>population equivalent (PE) to one employee (U-16 methodology of M09494)</t>
  </si>
  <si>
    <t>Employment growth to 2046</t>
  </si>
  <si>
    <t>single unit dwelling market share</t>
  </si>
  <si>
    <t>Total Growth</t>
  </si>
  <si>
    <t>multi-unit dwelling market share</t>
  </si>
  <si>
    <t>H-24 - Employment/Resdiential Ratio * 0.965</t>
  </si>
  <si>
    <t>target employment growth HRM Regional Plan</t>
  </si>
  <si>
    <t>employment PE growth (derived using H-24 M09494)</t>
  </si>
  <si>
    <t>Employment PE growth to 2046</t>
  </si>
  <si>
    <t xml:space="preserve">employment denisty floor space per worker (FSW, sq.ft./worker) </t>
  </si>
  <si>
    <t>Total Growth (PE Adjusted)</t>
  </si>
  <si>
    <t>employment density floor space per worker population equivalent (FSWPE, sq.ft/worker PE, 781sq.ft./.965)</t>
  </si>
  <si>
    <t xml:space="preserve">Residential growth </t>
  </si>
  <si>
    <t xml:space="preserve">Employment growth </t>
  </si>
  <si>
    <t>Regional Development Charge - Variables</t>
  </si>
  <si>
    <t>Period Growth (PE)</t>
  </si>
  <si>
    <t>Residential</t>
  </si>
  <si>
    <t>Employment (PE)</t>
  </si>
  <si>
    <t>Total</t>
  </si>
  <si>
    <t>2019 estimated RDC collections</t>
  </si>
  <si>
    <t>1 year</t>
  </si>
  <si>
    <t xml:space="preserve">Financial model </t>
  </si>
  <si>
    <t>20 years</t>
  </si>
  <si>
    <t>21 years</t>
  </si>
  <si>
    <t>Total residential growth</t>
  </si>
  <si>
    <t>Total employment population equivalent growth</t>
  </si>
  <si>
    <t>Total Growth (PE)</t>
  </si>
  <si>
    <t xml:space="preserve">Employment population equivalent Growth </t>
  </si>
  <si>
    <t>Post Period Benefit</t>
  </si>
  <si>
    <t>Financial Assumptions</t>
  </si>
  <si>
    <t>Construction Period Interest</t>
  </si>
  <si>
    <t>Data Source: Canadian Overnight Repo Rate Average (CORRA) + 0.75% risk premium - 10 year average, updated December 31, 2021 - Formerly bankers' acceptance V122504</t>
  </si>
  <si>
    <t xml:space="preserve">Debt Financing Financing </t>
  </si>
  <si>
    <t>Surplus Financing</t>
  </si>
  <si>
    <t>Inflation on Infrastructure</t>
  </si>
  <si>
    <t>Data Source: Statistics Canada - see Non-Res Construction tab</t>
  </si>
  <si>
    <t>Inflation on RDC rate charge</t>
  </si>
  <si>
    <t>Data Source: Statistics Canada - see CPI tab</t>
  </si>
  <si>
    <t>Halifax Water - Net HST</t>
  </si>
  <si>
    <t>Benefit to Existing Customers (Water Infrastructure)</t>
  </si>
  <si>
    <t>Varies</t>
  </si>
  <si>
    <t>Benefit to Existing Customers (Wastewater Infrastructure)</t>
  </si>
  <si>
    <t>Escalation Factors</t>
  </si>
  <si>
    <r>
      <t>Projected Annual Escalation on Infrastructure (</t>
    </r>
    <r>
      <rPr>
        <b/>
        <i/>
        <sz val="10"/>
        <rFont val="Arial"/>
        <family val="2"/>
      </rPr>
      <t>See Financial Assumptions Tab</t>
    </r>
    <r>
      <rPr>
        <b/>
        <sz val="10"/>
        <rFont val="Arial"/>
        <family val="2"/>
      </rPr>
      <t>)</t>
    </r>
  </si>
  <si>
    <t xml:space="preserve">ENR inflation Compounded Annually </t>
  </si>
  <si>
    <r>
      <t>Projected Annual Indexing of Rates (</t>
    </r>
    <r>
      <rPr>
        <b/>
        <i/>
        <sz val="10"/>
        <rFont val="Arial"/>
        <family val="2"/>
      </rPr>
      <t>See Financial Assumptions Tab</t>
    </r>
    <r>
      <rPr>
        <b/>
        <sz val="10"/>
        <rFont val="Arial"/>
        <family val="2"/>
      </rPr>
      <t>)</t>
    </r>
  </si>
  <si>
    <t>Infrastructure Escalation 2017 cost estimates</t>
  </si>
  <si>
    <t>RDC Escalation</t>
  </si>
  <si>
    <t>Factor</t>
  </si>
  <si>
    <t>2019-2021</t>
  </si>
  <si>
    <t>2021-2026</t>
  </si>
  <si>
    <t>2026-2031</t>
  </si>
  <si>
    <t>2031-2036</t>
  </si>
  <si>
    <t>2036-2041</t>
  </si>
  <si>
    <t>2041-2046</t>
  </si>
  <si>
    <t>Current charge</t>
  </si>
  <si>
    <t>2024 Review - Not Adjusted due to Freeze</t>
  </si>
  <si>
    <t>2025 Review with Updated Project Costs - Not Adjusted due to Freeze</t>
  </si>
  <si>
    <t>Water Single Unit Dwelling Rate ($/unit)</t>
  </si>
  <si>
    <t>Water Multi Unit Dwelling Rate ($/unit)</t>
  </si>
  <si>
    <t>Water ICI Rate ($/m2)</t>
  </si>
  <si>
    <t>WW Single Unit Dwelling Rate ($/unit)</t>
  </si>
  <si>
    <t>WW Multi Unit Dwelling Rate ($/unit)</t>
  </si>
  <si>
    <t>WW ICI Rate ($/m2)</t>
  </si>
  <si>
    <t>W Increase compared to previous</t>
  </si>
  <si>
    <t>W Increase compared to current</t>
  </si>
  <si>
    <t>WW Increase compared to previous</t>
  </si>
  <si>
    <t>WW Increase compared to current</t>
  </si>
  <si>
    <t>Wastewater Regional Development Charge Financial Model</t>
  </si>
  <si>
    <t>Actuals 2014 to 2018</t>
  </si>
  <si>
    <t>Estimated April 1, 2019 to March 31, 2020</t>
  </si>
  <si>
    <t>Financial Model Period April 1, 2020 to March 31, 2040</t>
  </si>
  <si>
    <t>Debt Financing</t>
  </si>
  <si>
    <t>COLLECTED</t>
  </si>
  <si>
    <t>SPENT</t>
  </si>
  <si>
    <t>CUMULATIVE</t>
  </si>
  <si>
    <t>RDC Annual</t>
  </si>
  <si>
    <t>Cash</t>
  </si>
  <si>
    <t>Cumulative</t>
  </si>
  <si>
    <t>Yearly</t>
  </si>
  <si>
    <t>Units &amp; Sq.ft.</t>
  </si>
  <si>
    <t>Type</t>
  </si>
  <si>
    <t>Adj. Factor</t>
  </si>
  <si>
    <t>In-Density</t>
  </si>
  <si>
    <t>Cash In</t>
  </si>
  <si>
    <t>Total Cost</t>
  </si>
  <si>
    <t>Cash Out</t>
  </si>
  <si>
    <t>Net Cash</t>
  </si>
  <si>
    <t>Net Finance</t>
  </si>
  <si>
    <t>Finance</t>
  </si>
  <si>
    <t>Cumulative Cost</t>
  </si>
  <si>
    <t xml:space="preserve">  </t>
  </si>
  <si>
    <t>SUD / TH</t>
  </si>
  <si>
    <t>MUD</t>
  </si>
  <si>
    <t>Non-Res</t>
  </si>
  <si>
    <t>Inflation Adjustment</t>
  </si>
  <si>
    <t xml:space="preserve"> </t>
  </si>
  <si>
    <t>Water Regional Development Chage Financial Model</t>
  </si>
  <si>
    <t>Must be zero</t>
  </si>
  <si>
    <t>Water Infrastructure Program</t>
  </si>
  <si>
    <t>Regional Development Charge - Water</t>
  </si>
  <si>
    <t>Phase Costs - 2014 to March 31, 2040</t>
  </si>
  <si>
    <t>Escalation</t>
  </si>
  <si>
    <t>Escalated</t>
  </si>
  <si>
    <t>Construction</t>
  </si>
  <si>
    <t>Non</t>
  </si>
  <si>
    <t>Benefit to</t>
  </si>
  <si>
    <t>Post Period</t>
  </si>
  <si>
    <t>Net Escalated</t>
  </si>
  <si>
    <t>Item #</t>
  </si>
  <si>
    <t>Description</t>
  </si>
  <si>
    <t>Proj No.</t>
  </si>
  <si>
    <t>Work Order Number and Notes</t>
  </si>
  <si>
    <t>System</t>
  </si>
  <si>
    <t>Costs</t>
  </si>
  <si>
    <t>Interest</t>
  </si>
  <si>
    <t>RDC</t>
  </si>
  <si>
    <t>Eligible %</t>
  </si>
  <si>
    <t>Existing $</t>
  </si>
  <si>
    <t>Benefit %</t>
  </si>
  <si>
    <t>Benefit $</t>
  </si>
  <si>
    <t>Subtotal</t>
  </si>
  <si>
    <t>W32.1-W32.2</t>
  </si>
  <si>
    <t>Decommission Miller Lake WSP</t>
  </si>
  <si>
    <t>-</t>
  </si>
  <si>
    <t>3-2766 Closed 2019-2020, No RDC</t>
  </si>
  <si>
    <t>System Interconnections Pockwock Transmission WTP Decommissioning</t>
  </si>
  <si>
    <t>W04</t>
  </si>
  <si>
    <t>Leiblin Booster Fire Pump</t>
  </si>
  <si>
    <t>3-2646 Closed 2020-2021, No RDC</t>
  </si>
  <si>
    <t>Pockwock - Other</t>
  </si>
  <si>
    <t>Cork St: Dublin St to Windsor St - Part of Peninsula Int.</t>
  </si>
  <si>
    <t>3-3290 - Closed - 03.31.2022 - Part of Peninsula Int. Looping - Quinpool Rd to Young St</t>
  </si>
  <si>
    <t>Pockwock - Peninsula</t>
  </si>
  <si>
    <t>W12.1</t>
  </si>
  <si>
    <t>Lucasville Rd Twinning (Phase 1)</t>
  </si>
  <si>
    <t>3-2821 - Closed - Lucasville Rd Twinning (Phase 1)</t>
  </si>
  <si>
    <t>W22.1</t>
  </si>
  <si>
    <t>New Main Street to Caledonia Road Connection</t>
  </si>
  <si>
    <t>3-2910 -  Closed - 03.31.2022 -Port Wallace Transmission main - Caledonia Road</t>
  </si>
  <si>
    <t>Lake Major</t>
  </si>
  <si>
    <t>W28</t>
  </si>
  <si>
    <t>Tacoma PRV Chamber</t>
  </si>
  <si>
    <t>3-2910 - Closed,  PRV cost only;separated from W22.1 portion</t>
  </si>
  <si>
    <t xml:space="preserve">Berlin St: Connaught Ave to Dublin Street - Part of Peninsula Int. </t>
  </si>
  <si>
    <t>3-3103 - Closed - 03.31.2022 - Part of Peninsula Int. Looping - Quinpool Rd to Young St</t>
  </si>
  <si>
    <t>Dublin St: Berlin St to Cork St. - Part of Peninsula Int. Looping W08</t>
  </si>
  <si>
    <t>W14.1</t>
  </si>
  <si>
    <t>Cobequid High Looping</t>
  </si>
  <si>
    <t>3-3298 Active,  Cobequid Loop - Windgate Drive Extension close in 2023</t>
  </si>
  <si>
    <t>Burnside to Bedford Connector</t>
  </si>
  <si>
    <t>W29.1</t>
  </si>
  <si>
    <t>Bedford-Burnside System Interconnection</t>
  </si>
  <si>
    <t>3.658</t>
  </si>
  <si>
    <t>3-3930 - Burnside to Bedford Phase 1</t>
  </si>
  <si>
    <t>Chain Control Transmission - Existing Peninsula Low Upsize</t>
  </si>
  <si>
    <t>Windsor Street (Young to Cork). - Part of Peninsula Int. Looping W08</t>
  </si>
  <si>
    <t>3-3899</t>
  </si>
  <si>
    <t>Peninsula Intermediate Looping - Quinpool Rd to Young St</t>
  </si>
  <si>
    <t>W01.4</t>
  </si>
  <si>
    <t>Brunello Booster Pump Upgrades</t>
  </si>
  <si>
    <t>W22.2</t>
  </si>
  <si>
    <t>W22.3</t>
  </si>
  <si>
    <t>New Breeze Drive Water main</t>
  </si>
  <si>
    <t>3.570</t>
  </si>
  <si>
    <t>W23</t>
  </si>
  <si>
    <t>Highway 118 Crossing - Shubie Park to Dartmouth Crossing</t>
  </si>
  <si>
    <t>3.571</t>
  </si>
  <si>
    <t>W25</t>
  </si>
  <si>
    <t>New Woodside Industrial Park Feed</t>
  </si>
  <si>
    <t>3.578</t>
  </si>
  <si>
    <t>W40</t>
  </si>
  <si>
    <t>Aerotech Storage</t>
  </si>
  <si>
    <t>W29.3</t>
  </si>
  <si>
    <t>3.595</t>
  </si>
  <si>
    <t>Studies</t>
  </si>
  <si>
    <t>W30.3</t>
  </si>
  <si>
    <t>Robie Emergency Booster</t>
  </si>
  <si>
    <t>W05.1</t>
  </si>
  <si>
    <t>Herring Cove Rd Twinning</t>
  </si>
  <si>
    <t>W18</t>
  </si>
  <si>
    <t>Chain Lake Backup Supply Study</t>
  </si>
  <si>
    <t>W27</t>
  </si>
  <si>
    <t>Mt Edward Booster Fire Pump</t>
  </si>
  <si>
    <t>W35</t>
  </si>
  <si>
    <t>Safe Yield Study</t>
  </si>
  <si>
    <t xml:space="preserve">3-3223 Active, </t>
  </si>
  <si>
    <t>W36</t>
  </si>
  <si>
    <t>New Hydraulic Water Model (InfoWater)</t>
  </si>
  <si>
    <t>3-2990 Active, to close in 2023 (3-3224 - closed 20/21, no charges)</t>
  </si>
  <si>
    <t>W37</t>
  </si>
  <si>
    <t>Comprehensive PRV Study</t>
  </si>
  <si>
    <t>W38</t>
  </si>
  <si>
    <t>Transmission Main Risk Assessment and Prioritization Framework</t>
  </si>
  <si>
    <t>3-3225 Active - 3-2318 closed intangible asses for $11,730.79</t>
  </si>
  <si>
    <t>W07</t>
  </si>
  <si>
    <t>W10.1</t>
  </si>
  <si>
    <t>Young Street Upsize</t>
  </si>
  <si>
    <t>W10.2</t>
  </si>
  <si>
    <t>Robie Street Upsize</t>
  </si>
  <si>
    <t>W10.3</t>
  </si>
  <si>
    <t>Almon Street Upsize</t>
  </si>
  <si>
    <t>W10.4</t>
  </si>
  <si>
    <t>Windsor Street Upsize</t>
  </si>
  <si>
    <t>W12.2</t>
  </si>
  <si>
    <t>Lucasville Road Twinning (Phase 2)</t>
  </si>
  <si>
    <t>W30.1</t>
  </si>
  <si>
    <t>3.580</t>
  </si>
  <si>
    <t>W29.1-W29.2</t>
  </si>
  <si>
    <t>Bedford to Burnside Tranmission Main Phase 1 Akerley Boulebard Connection</t>
  </si>
  <si>
    <t>3.657</t>
  </si>
  <si>
    <t>Bedford to Burnside Transmission Main Phase 2 - Rock Trench Preparations</t>
  </si>
  <si>
    <t>3.550</t>
  </si>
  <si>
    <t>W31.1-W31.3</t>
  </si>
  <si>
    <t>Extension of Fall River to Bennery Lake Airport System</t>
  </si>
  <si>
    <t>W13.1</t>
  </si>
  <si>
    <t>New Primary Feed to Sackville High</t>
  </si>
  <si>
    <t>W13.2</t>
  </si>
  <si>
    <t>New Sackville Beaver Bank Valve Chamber</t>
  </si>
  <si>
    <t>W13.3</t>
  </si>
  <si>
    <t>Reconfiguration of Beaver Bank Booster</t>
  </si>
  <si>
    <t>W13.4</t>
  </si>
  <si>
    <t>New Sackville High PRV</t>
  </si>
  <si>
    <t>W14.2</t>
  </si>
  <si>
    <t>Windgate Drive Upsize</t>
  </si>
  <si>
    <t>W24</t>
  </si>
  <si>
    <t>Windmill Road Upsize</t>
  </si>
  <si>
    <t>W01.1</t>
  </si>
  <si>
    <t>Geizer 158 to Lakeside High Looping</t>
  </si>
  <si>
    <t>3.562</t>
  </si>
  <si>
    <t>W03</t>
  </si>
  <si>
    <t>Geizer Hill Booster Pump Upgrades</t>
  </si>
  <si>
    <t>3.579</t>
  </si>
  <si>
    <t>W05.3</t>
  </si>
  <si>
    <t>Herring Cove Road Looping - McIntosh St</t>
  </si>
  <si>
    <t>3.563</t>
  </si>
  <si>
    <t>Pockwock</t>
  </si>
  <si>
    <t>W17</t>
  </si>
  <si>
    <t>Pockwock Transmission Loop through Bedford</t>
  </si>
  <si>
    <t>W06.3</t>
  </si>
  <si>
    <t>Pepperell Transmission</t>
  </si>
  <si>
    <t>W06.4</t>
  </si>
  <si>
    <t>Chain Control Transmission - Existing Peninsula Low Lining</t>
  </si>
  <si>
    <t>W06.5</t>
  </si>
  <si>
    <t>Chain Control Transmission - Valve Chambers</t>
  </si>
  <si>
    <t>W15</t>
  </si>
  <si>
    <t>Lively Booster Pump Upgrades</t>
  </si>
  <si>
    <t>W26</t>
  </si>
  <si>
    <t>Willowdale to Eastern Passage Connection</t>
  </si>
  <si>
    <t>Pockwock Transmission Twinning - 54in</t>
  </si>
  <si>
    <t>W39</t>
  </si>
  <si>
    <t>Tomahawk Lake Supply Study</t>
  </si>
  <si>
    <t>Grand Total</t>
  </si>
  <si>
    <t>Water Regional Development Charge Summary</t>
  </si>
  <si>
    <t>Total cost of water infrastructure program to the benefit of the RDC</t>
  </si>
  <si>
    <t>(A)</t>
  </si>
  <si>
    <t>Interest during construction</t>
  </si>
  <si>
    <t>(B)</t>
  </si>
  <si>
    <t>Note 1</t>
  </si>
  <si>
    <t>Total cost of water infrastructure program to the benefit of the RDC plus IDC</t>
  </si>
  <si>
    <t>(C) = (A) + (B)</t>
  </si>
  <si>
    <t>Less: portion of infrastructure that benefits Halifax Water customers to be deducted</t>
  </si>
  <si>
    <t>(D) = (C) * Varies%</t>
  </si>
  <si>
    <t>Note 2</t>
  </si>
  <si>
    <t>Less: portion of infrastructure that benefits the post period</t>
  </si>
  <si>
    <t>Note 3</t>
  </si>
  <si>
    <t>Net regional development charge infrastructure (water)</t>
  </si>
  <si>
    <t xml:space="preserve">(F) = (C) - (D) - (E) </t>
  </si>
  <si>
    <t>Less: inflation adjustment</t>
  </si>
  <si>
    <t>(F') = Inflation Adjustment</t>
  </si>
  <si>
    <t>Note 4</t>
  </si>
  <si>
    <t>Total regional development charge cost to be recovered</t>
  </si>
  <si>
    <t>(F'') = (F) + (F')</t>
  </si>
  <si>
    <t>Residential growth percentage (residential growth / total growth)</t>
  </si>
  <si>
    <t>(G)</t>
  </si>
  <si>
    <t>Employment growth percentage (employment PE growth / total growth)</t>
  </si>
  <si>
    <t>(H)</t>
  </si>
  <si>
    <t>Residential benefit of the regional development charge</t>
  </si>
  <si>
    <t>(I) = (F") * (G)</t>
  </si>
  <si>
    <t>Employment benefit of the regional development charge</t>
  </si>
  <si>
    <t>(J) = (F") * (H)</t>
  </si>
  <si>
    <t>Total projected residential growth between April 1, 2019 - March 31, 2040 (people)</t>
  </si>
  <si>
    <t>(K)</t>
  </si>
  <si>
    <t>Note 5</t>
  </si>
  <si>
    <t>Total projected employment PE growth between April 1, 2019 - March 31, 2040 (PE)</t>
  </si>
  <si>
    <t>(L)</t>
  </si>
  <si>
    <t>Note 6</t>
  </si>
  <si>
    <t>Projected number of residential units</t>
  </si>
  <si>
    <t>Projected number of single unit dwellings / townhouses (units)</t>
  </si>
  <si>
    <t>Projected number of multi-unit dwellings (units)</t>
  </si>
  <si>
    <t>Relative density factor</t>
  </si>
  <si>
    <t>(P) = 3.35 PPU / 2.25 PPU</t>
  </si>
  <si>
    <t>Note 7</t>
  </si>
  <si>
    <t>Single unit dwelling / townhouse regional development charge</t>
  </si>
  <si>
    <t>(Q) = (I) / ((N) + ((O)/(P)))</t>
  </si>
  <si>
    <t>SUD/TH</t>
  </si>
  <si>
    <t>Single Unit ($ / unit)</t>
  </si>
  <si>
    <t>Multi Unit ($ / unit)</t>
  </si>
  <si>
    <t>Multi-unit dwelling regional development charge</t>
  </si>
  <si>
    <t>(R) = (I) / ((O) + ((N)*(P)))</t>
  </si>
  <si>
    <t xml:space="preserve">MUD </t>
  </si>
  <si>
    <r>
      <t>ICI ($ / ft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</si>
  <si>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ICI ($ /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</si>
  <si>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Employment benefit regional development charge per worker population equivalent</t>
  </si>
  <si>
    <t xml:space="preserve">(S) = (J) / (L) </t>
  </si>
  <si>
    <t>per worker population equivalent</t>
  </si>
  <si>
    <t>Employment density (FSWPE)</t>
  </si>
  <si>
    <t xml:space="preserve">(T) </t>
  </si>
  <si>
    <t>sq.ft. per worker population equivalent</t>
  </si>
  <si>
    <t>Non-residential regional development charge</t>
  </si>
  <si>
    <t>(U) = (S) / (T)</t>
  </si>
  <si>
    <r>
      <t>per ft</t>
    </r>
    <r>
      <rPr>
        <b/>
        <vertAlign val="superscript"/>
        <sz val="10"/>
        <rFont val="Arial"/>
        <family val="2"/>
      </rPr>
      <t>2</t>
    </r>
  </si>
  <si>
    <r>
      <t>per m</t>
    </r>
    <r>
      <rPr>
        <b/>
        <vertAlign val="superscript"/>
        <sz val="10"/>
        <rFont val="Arial"/>
        <family val="2"/>
      </rPr>
      <t>2</t>
    </r>
  </si>
  <si>
    <r>
      <t>Note 2</t>
    </r>
    <r>
      <rPr>
        <sz val="8"/>
        <rFont val="Arial"/>
        <family val="2"/>
      </rPr>
      <t>: Benefit to existing Halifax Water customers, benefit varies based on project.</t>
    </r>
  </si>
  <si>
    <r>
      <t>Note 3</t>
    </r>
    <r>
      <rPr>
        <sz val="8"/>
        <rFont val="Arial"/>
        <family val="2"/>
      </rPr>
      <t>: Benefit to population growth beyond March 31, 2040.  This benefit would be recovered in subsequent RDC updates.</t>
    </r>
  </si>
  <si>
    <r>
      <rPr>
        <b/>
        <sz val="8"/>
        <rFont val="Arial"/>
        <family val="2"/>
      </rPr>
      <t>Note 4</t>
    </r>
    <r>
      <rPr>
        <sz val="8"/>
        <rFont val="Arial"/>
        <family val="2"/>
      </rPr>
      <t>: Inflation adjustment, in the absence of escalation factors (Halifax CPI applied to the RDC and non-res construction CPI applied to the infrastructure cost estimates) equals the amount of financing charges. The inflation adjustment within the RDC offsets the financing charges so that a 2019 base charge (year 1) can be calculated.</t>
    </r>
  </si>
  <si>
    <r>
      <t>Note 5</t>
    </r>
    <r>
      <rPr>
        <sz val="8"/>
        <rFont val="Arial"/>
        <family val="2"/>
      </rPr>
      <t>: Residential population projection adjusted to project April 1, 2019 - March 31, 2040.  RDC payments made from 2014 through 2018 have been inserted into the model.</t>
    </r>
  </si>
  <si>
    <r>
      <t>Note 6</t>
    </r>
    <r>
      <rPr>
        <sz val="8"/>
        <rFont val="Arial"/>
        <family val="2"/>
      </rPr>
      <t>: Employment population projection adjusted to project April 1, 2019 - March 31, 2040.  RDC payments made from 2014 through 2018 have been inserted into the model.</t>
    </r>
  </si>
  <si>
    <r>
      <t>Note 7</t>
    </r>
    <r>
      <rPr>
        <sz val="8"/>
        <rFont val="Arial"/>
        <family val="2"/>
      </rPr>
      <t>: Relationship factor between a multi-unit dwelling and a single unit dwelling, values are derived from the Halifax Regional Subdivision By-law and Halifax Planning</t>
    </r>
    <r>
      <rPr>
        <b/>
        <sz val="8"/>
        <rFont val="Arial"/>
        <family val="2"/>
      </rPr>
      <t>.</t>
    </r>
  </si>
  <si>
    <t>Wastewater Infrastructure Program</t>
  </si>
  <si>
    <t>Regional Development Charge - Wastewater</t>
  </si>
  <si>
    <t>Non Eligible</t>
  </si>
  <si>
    <t>WO</t>
  </si>
  <si>
    <t>Notes</t>
  </si>
  <si>
    <t>Project Cost</t>
  </si>
  <si>
    <t>Eligible%</t>
  </si>
  <si>
    <t>Lakeside Diversion</t>
  </si>
  <si>
    <t>6-0686</t>
  </si>
  <si>
    <t>C/O total = $24,580,281.66 - other funding $16M - internal funding $2.5M = remaining $6.038M RDC funding</t>
  </si>
  <si>
    <t>AT2</t>
  </si>
  <si>
    <t>6-1359</t>
  </si>
  <si>
    <t>C/O Total $22,997,613.43 - $14M Build Canada Funding = $8.997M charged to RDC</t>
  </si>
  <si>
    <t>Aerotech</t>
  </si>
  <si>
    <t>WR13.a</t>
  </si>
  <si>
    <t xml:space="preserve">Fairview Clayton Park Bridgeview </t>
  </si>
  <si>
    <t>6-1641</t>
  </si>
  <si>
    <t>Project total $2.56M, 95% RDC $2.41M</t>
  </si>
  <si>
    <t>WR13.b</t>
  </si>
  <si>
    <t>FAIRVIEW/CLAYTON PK/BRIDGEVIEW</t>
  </si>
  <si>
    <t>6-1744</t>
  </si>
  <si>
    <t xml:space="preserve">Project total $249k, 95% RDC $237k </t>
  </si>
  <si>
    <t>6-2061</t>
  </si>
  <si>
    <t>WR13.d</t>
  </si>
  <si>
    <t>Fairview CL PK Bridgeview I/I</t>
  </si>
  <si>
    <t>6-1844</t>
  </si>
  <si>
    <t>WR13.c</t>
  </si>
  <si>
    <t>Old Clayton Park Lateral Lining - Top Hat Pilot</t>
  </si>
  <si>
    <t>6-2274</t>
  </si>
  <si>
    <t>WR3.h</t>
  </si>
  <si>
    <t>Romans - Federal Avenues - Sewer Separation</t>
  </si>
  <si>
    <t>6-1688</t>
  </si>
  <si>
    <t>6-0887</t>
  </si>
  <si>
    <t>D1</t>
  </si>
  <si>
    <t>LoWSCA: Canal Street Separation</t>
  </si>
  <si>
    <t>6-2473</t>
  </si>
  <si>
    <t xml:space="preserve">Dartmouth </t>
  </si>
  <si>
    <t>D13</t>
  </si>
  <si>
    <t xml:space="preserve">Additional flow monitoring </t>
  </si>
  <si>
    <t>6-1244</t>
  </si>
  <si>
    <t>D26</t>
  </si>
  <si>
    <t>SSO Flow Management Plan</t>
  </si>
  <si>
    <t>4.140</t>
  </si>
  <si>
    <t>6-2143</t>
  </si>
  <si>
    <t>EP13</t>
  </si>
  <si>
    <t>I/I Reduction Program FMZ24</t>
  </si>
  <si>
    <t>2.830</t>
  </si>
  <si>
    <t>6-2475</t>
  </si>
  <si>
    <t>Eastern Passage</t>
  </si>
  <si>
    <t>EP14</t>
  </si>
  <si>
    <t>I/I Reduction Program FMZ37</t>
  </si>
  <si>
    <t>6-2476</t>
  </si>
  <si>
    <t>Mill Cove</t>
  </si>
  <si>
    <t>MC8.a</t>
  </si>
  <si>
    <t>Mill Cove RDII Reduction Program FMZ07 &amp; FMZ40</t>
  </si>
  <si>
    <t>6-2477</t>
  </si>
  <si>
    <t>MC8.b</t>
  </si>
  <si>
    <t>Mill Cove RDII Reduction Program FMZ10</t>
  </si>
  <si>
    <t>6-2478</t>
  </si>
  <si>
    <t>WRWIP: Spring Garden Area Sewer Separation</t>
  </si>
  <si>
    <t>WR1.a</t>
  </si>
  <si>
    <t>South Park Street - Sewer Separation</t>
  </si>
  <si>
    <t>6-2225</t>
  </si>
  <si>
    <t>WR1.b</t>
  </si>
  <si>
    <t>College Street - Sewer Separation</t>
  </si>
  <si>
    <t>6-6020</t>
  </si>
  <si>
    <t>Young Street Pocket</t>
  </si>
  <si>
    <t>WR2.a</t>
  </si>
  <si>
    <t>Young Street Pocket - Sewer Separation - Route to Harbour</t>
  </si>
  <si>
    <t>6-2474</t>
  </si>
  <si>
    <t>WR2.b</t>
  </si>
  <si>
    <t>Young Street - Sewer Separation</t>
  </si>
  <si>
    <t>WR2.c</t>
  </si>
  <si>
    <t>Robie Street - Sewer Separation</t>
  </si>
  <si>
    <t>WR2.d</t>
  </si>
  <si>
    <t>Young Street Pocket - Sewer Separation - Side Streets</t>
  </si>
  <si>
    <t>WR2.e</t>
  </si>
  <si>
    <t>Windsor - Almon - Sewer Separation</t>
  </si>
  <si>
    <t>WRWIP: Sewer Separation Upstream of Kempt CSO</t>
  </si>
  <si>
    <t>WR3.a</t>
  </si>
  <si>
    <t xml:space="preserve">SSP - Bayers Rd Pocket - Engineering Analysis  </t>
  </si>
  <si>
    <t>6-2269</t>
  </si>
  <si>
    <t>WR3.b</t>
  </si>
  <si>
    <t>SSP - Bayers Road Pocket - Engineering Analysis</t>
  </si>
  <si>
    <t>6-2471</t>
  </si>
  <si>
    <t>WR3.c</t>
  </si>
  <si>
    <t>Bayers Road Pocket - Capacity Upgrades</t>
  </si>
  <si>
    <t>WR3.d</t>
  </si>
  <si>
    <t>SSP - Mic Mac to Windosr Side Streets - Sewer Separation</t>
  </si>
  <si>
    <t>2.990</t>
  </si>
  <si>
    <t>WR3.e</t>
  </si>
  <si>
    <t>Bayers Road Phase 1 - Sewer Separation</t>
  </si>
  <si>
    <t>6-2472</t>
  </si>
  <si>
    <t>WR3.f</t>
  </si>
  <si>
    <t>Conaught Avenue - Sewer Separation</t>
  </si>
  <si>
    <t>WR3.j</t>
  </si>
  <si>
    <t>Bayers Road Phase 2 - Sewer Separation</t>
  </si>
  <si>
    <t>2.680</t>
  </si>
  <si>
    <t>6-1861</t>
  </si>
  <si>
    <t>WR3.k</t>
  </si>
  <si>
    <t>Joseph Howe/Dutch Village Road Catchbasin Disconnections</t>
  </si>
  <si>
    <t>2.950</t>
  </si>
  <si>
    <t>6-2270</t>
  </si>
  <si>
    <t>WR13</t>
  </si>
  <si>
    <t>WRWIP: I/I Reduction Program in Fairview, Clayton Park, and Bridgeview areas</t>
  </si>
  <si>
    <t>WR19</t>
  </si>
  <si>
    <t>WRWIP: Fairview Cove Linear Upsize</t>
  </si>
  <si>
    <t>6-1646</t>
  </si>
  <si>
    <t>D2a</t>
  </si>
  <si>
    <t>LoWSCA: Wyse Road Separation - Phase 1</t>
  </si>
  <si>
    <t>D2b</t>
  </si>
  <si>
    <t>LoWSCA: Wyse Road Separation - Phase 2</t>
  </si>
  <si>
    <t>6-2057</t>
  </si>
  <si>
    <t>MC7</t>
  </si>
  <si>
    <t>Mill Cove Wastewater Treatment Plant Capacity Upgrade</t>
  </si>
  <si>
    <t>D8</t>
  </si>
  <si>
    <t>6-2482</t>
  </si>
  <si>
    <t>D11</t>
  </si>
  <si>
    <t>I/I Reduction Program FMZ27</t>
  </si>
  <si>
    <t>6-2479</t>
  </si>
  <si>
    <t>D6a-D6d</t>
  </si>
  <si>
    <t>Maynard Lake and Clement Street Wetland Separation</t>
  </si>
  <si>
    <t>EP1-EP5</t>
  </si>
  <si>
    <t>Gravity pressure sewer, pump out stations, surge tank gate valve, force main connections</t>
  </si>
  <si>
    <t>6-2458</t>
  </si>
  <si>
    <t>EP6</t>
  </si>
  <si>
    <t>Upgrade Quigley's Corner Pumping Station</t>
  </si>
  <si>
    <t>6-2084</t>
  </si>
  <si>
    <t>WR9</t>
  </si>
  <si>
    <t>WRWIP: Replace Armdale Pumping Station Force mains</t>
  </si>
  <si>
    <t>BLT</t>
  </si>
  <si>
    <t>WR12</t>
  </si>
  <si>
    <t>WRWIP: BLT WWTF Decommission</t>
  </si>
  <si>
    <t>D3</t>
  </si>
  <si>
    <t xml:space="preserve">Additional Sewer Separation on Wyse Street  </t>
  </si>
  <si>
    <t>D24</t>
  </si>
  <si>
    <t>King Street Diversion</t>
  </si>
  <si>
    <t>D9</t>
  </si>
  <si>
    <t xml:space="preserve">Anderson Pumping Station Upgrades </t>
  </si>
  <si>
    <t>D12</t>
  </si>
  <si>
    <t>I/I Reduction Program FMZ45</t>
  </si>
  <si>
    <t>D16</t>
  </si>
  <si>
    <t xml:space="preserve">Pinecrest Dr Upgrade </t>
  </si>
  <si>
    <t>EP8</t>
  </si>
  <si>
    <t>Upgrade Memorial Drive Pumping Station</t>
  </si>
  <si>
    <t>EP12</t>
  </si>
  <si>
    <t>I/I Reduction Program FMZ23</t>
  </si>
  <si>
    <t>MC4</t>
  </si>
  <si>
    <t>Storage Tank</t>
  </si>
  <si>
    <t>MC5</t>
  </si>
  <si>
    <t>Fish Hatchery Park Pumping Station Upgrade</t>
  </si>
  <si>
    <t>MC9</t>
  </si>
  <si>
    <t>I/I Reduction Program FMZ02 &amp; FMZ03</t>
  </si>
  <si>
    <t>WR20</t>
  </si>
  <si>
    <t>WRWIP: Linear Upgrades within the Kearney Lake Road Area</t>
  </si>
  <si>
    <t>6-1480</t>
  </si>
  <si>
    <t>WR14-WR17</t>
  </si>
  <si>
    <t>WRWIP: BLT Flow Diversion to Herring Cove</t>
  </si>
  <si>
    <t>WR18</t>
  </si>
  <si>
    <t>WRWIP: Herring Cove Road - Gravity Sewer Upsize</t>
  </si>
  <si>
    <t xml:space="preserve">Herring Cove </t>
  </si>
  <si>
    <t>D7</t>
  </si>
  <si>
    <t>New Valleyford Pumping Station</t>
  </si>
  <si>
    <t>D10</t>
  </si>
  <si>
    <t xml:space="preserve">Upgrades to Dartmouth WWTF </t>
  </si>
  <si>
    <t>XXX</t>
  </si>
  <si>
    <t xml:space="preserve">Dartmouth WWTF </t>
  </si>
  <si>
    <t>D19</t>
  </si>
  <si>
    <t xml:space="preserve">Akerley Blvd and Railway Alignment Upgrade </t>
  </si>
  <si>
    <t>D25</t>
  </si>
  <si>
    <t xml:space="preserve">Diversion to Eastern Passage </t>
  </si>
  <si>
    <t>EP9</t>
  </si>
  <si>
    <t>Upgrade Beaver Crescent Pumping Station</t>
  </si>
  <si>
    <t>EP10</t>
  </si>
  <si>
    <t>Upgrade Bissett Lake Pumping Station</t>
  </si>
  <si>
    <t>EP11</t>
  </si>
  <si>
    <t>Upgrade Caldwell Road Pumping Station</t>
  </si>
  <si>
    <t>EP15</t>
  </si>
  <si>
    <t>MC1-MC3</t>
  </si>
  <si>
    <t>Trunk Sewer Upgrades (Sackville Trunk Upgrades)</t>
  </si>
  <si>
    <t>MC6</t>
  </si>
  <si>
    <t>Pumping Station (Beaver Bank #3 PS and Majestic Avenue PS)</t>
  </si>
  <si>
    <t>MC15</t>
  </si>
  <si>
    <t>Local Sewer Upgrades for Waterfront Drive</t>
  </si>
  <si>
    <t>WRWIP: Halifax Treatment Plant Capacity Upgrade</t>
  </si>
  <si>
    <t>Halifax Treatment Plant Compliance Upgrade</t>
  </si>
  <si>
    <t>Wastewater Regional Development Charge Summary</t>
  </si>
  <si>
    <t>Total cost of wastewater infrastructure program to the benefit of the RDC</t>
  </si>
  <si>
    <t>Total cost of wastewater infrastructure program to the benefit of the RDC plus IDC</t>
  </si>
  <si>
    <t>Net regional development charge infrastructure (wastewater)</t>
  </si>
  <si>
    <t>units</t>
  </si>
  <si>
    <t xml:space="preserve">SUD/TH </t>
  </si>
  <si>
    <r>
      <rPr>
        <b/>
        <sz val="8"/>
        <rFont val="Arial"/>
        <family val="2"/>
      </rPr>
      <t>Note 3</t>
    </r>
    <r>
      <rPr>
        <sz val="8"/>
        <rFont val="Arial"/>
        <family val="2"/>
      </rPr>
      <t>: Benefit to population growth beyond March 31, 2040.  This benefit would be recovered in subsequent RDC updates.  PPB not applied to completed projects.</t>
    </r>
  </si>
  <si>
    <t>Completed</t>
  </si>
  <si>
    <t>Total 2019</t>
  </si>
  <si>
    <t>Infrastructure Escalation</t>
  </si>
  <si>
    <t>Infrastructure Escalated</t>
  </si>
  <si>
    <t>Construction Period</t>
  </si>
  <si>
    <t>Active</t>
  </si>
  <si>
    <t>Project Status 2025</t>
  </si>
  <si>
    <t>Future</t>
  </si>
  <si>
    <t>3-2646</t>
  </si>
  <si>
    <t>W08.6</t>
  </si>
  <si>
    <t>W08.5</t>
  </si>
  <si>
    <t>W08.4</t>
  </si>
  <si>
    <t xml:space="preserve"> 3-3467, Completed</t>
  </si>
  <si>
    <t>WO#'3-3239 - Burnside Drive Transmission Main Extension, Bedford to Burnside Transmission Main Phase 1 - Road Crossings/Casings Culvert Extension</t>
  </si>
  <si>
    <t>W06.1</t>
  </si>
  <si>
    <t>Chain Ctrl Trans-Peninsula Low Upsize-Churchill Drive Corridor</t>
  </si>
  <si>
    <t>W08.3</t>
  </si>
  <si>
    <t>3-3785 - Peninsula Intermediate Looping - Quinpool Road to Young St (Windsor St 2023)</t>
  </si>
  <si>
    <t>NEW</t>
  </si>
  <si>
    <t>Infrastructure Master Plan Update</t>
  </si>
  <si>
    <t>New Orchard Control Chamber - Water Trans Strat - Bedford Burnside Con</t>
  </si>
  <si>
    <t xml:space="preserve">WO#3-3662 </t>
  </si>
  <si>
    <t>W08.2</t>
  </si>
  <si>
    <t>3.553</t>
  </si>
  <si>
    <t>1665231 for 3-3724 Peninsula TM - Connaught to Quinpool (Newton Ave.)</t>
  </si>
  <si>
    <t>3-3424 Open, nothing against it, $25,000 in budget</t>
  </si>
  <si>
    <t>WO#3-3854 Related to Southdale, Development Drive</t>
  </si>
  <si>
    <t>3.549</t>
  </si>
  <si>
    <t>Find more information</t>
  </si>
  <si>
    <t>3398 / 4144</t>
  </si>
  <si>
    <t xml:space="preserve">3-3550 </t>
  </si>
  <si>
    <t xml:space="preserve"> Burnside Dr WM 2023 Extension (23/24) WO#3930</t>
  </si>
  <si>
    <t>Bedford-Burnside System Interconnection -BEDFORD/BURNSIDE MAIN PH 2 - ROCK TRENCH</t>
  </si>
  <si>
    <t>3-3840</t>
  </si>
  <si>
    <t>W06.2</t>
  </si>
  <si>
    <t>Transmission Main Upgrades - Churchill Drive Corridor</t>
  </si>
  <si>
    <t>3-3121 Chain Control Transmission - Existing Peninsula Intermediate Upsize</t>
  </si>
  <si>
    <t>Integrated Resource Plan Update</t>
  </si>
  <si>
    <t>4.1700</t>
  </si>
  <si>
    <t>WO#8-0203</t>
  </si>
  <si>
    <t>W08.1</t>
  </si>
  <si>
    <t>8-0320 Peninsula Intermediate Looping - Quinpool Road to Young St Connaught-Chebucto 2025)</t>
  </si>
  <si>
    <t>3-3682</t>
  </si>
  <si>
    <t>3598 / 4147</t>
  </si>
  <si>
    <t>3-3423 Mt Edward Booster Fire Pump Assessment</t>
  </si>
  <si>
    <t>See M11255 - Active 3-3324  Budget $5,883 in capital</t>
  </si>
  <si>
    <t>Chain Control Transmission - Existing Peninsula Intermediate Upsize</t>
  </si>
  <si>
    <t>3.752</t>
  </si>
  <si>
    <t>Quinpool Road Transmission Main Upgrades - Quinn St to Beech St (W6.1 and 6.2)
TM Upgrades - FUTURE - Crown Drive to Chebucto Rd &amp; Quinn Street to Beech St</t>
  </si>
  <si>
    <t>3.593</t>
  </si>
  <si>
    <t>Water Supply Enhancement Program - JDK - Pretreatment &amp; Clarification (new WSP) aka JDK Treatment Plan Replacement</t>
  </si>
  <si>
    <t>3.6040</t>
  </si>
  <si>
    <t>WO# 3-3362 WSEP Project No. JDK800.10 aka JDK800.90</t>
  </si>
  <si>
    <t>Water Supply Enhancement Program - JDK - Clearwell &amp; Storage Upgrades</t>
  </si>
  <si>
    <t>3.6080</t>
  </si>
  <si>
    <t>WO# 3-3363 - WSEP Project No. JDK800.25</t>
  </si>
  <si>
    <t>Water Supply Enhancement Program - JDK - Low Lift Pump Station</t>
  </si>
  <si>
    <t>WSEP Project No. JDK800.35</t>
  </si>
  <si>
    <t>Water Supply Enhancement Program - MAJ - Low Lift &amp; Pumping Station</t>
  </si>
  <si>
    <t>3.6190</t>
  </si>
  <si>
    <t>WO#3-3377 - WSP Project No. MAJ800.20</t>
  </si>
  <si>
    <t>Water Supply Enhancement Program - MAJ - Filter Upgrades</t>
  </si>
  <si>
    <t>WO#8-0213 - WSP Project No. MAJ800.45</t>
  </si>
  <si>
    <t>Water Efficiency Strategy</t>
  </si>
  <si>
    <t>WO#8-02060</t>
  </si>
  <si>
    <t xml:space="preserve">Growth Servicing Strategy </t>
  </si>
  <si>
    <t>WO#8-0204</t>
  </si>
  <si>
    <t>Specific Development Drive  Lakeside Timberlea Water CCC</t>
  </si>
  <si>
    <t>Replace High Risk Peninsula Transmission (Robie) (North End Feeder)</t>
  </si>
  <si>
    <t>WO#3-3126</t>
  </si>
  <si>
    <t>WO#8-0234</t>
  </si>
  <si>
    <t>WO#8-0233</t>
  </si>
  <si>
    <t>M12269 - Almon Street between Dublin and Windsor</t>
  </si>
  <si>
    <t>Bedford-Burnside Interconnection, Lyle Emergency Booster Upgrades</t>
  </si>
  <si>
    <t>WO#3-3842</t>
  </si>
  <si>
    <t>3.398&amp;4.144</t>
  </si>
  <si>
    <t>WO# 3-2990 &amp; 3-3410</t>
  </si>
  <si>
    <t>WO#3-3358</t>
  </si>
  <si>
    <t>Water Supply Enhancement Program - JDK - Residual Handling</t>
  </si>
  <si>
    <t>3.615</t>
  </si>
  <si>
    <t>WSEP Project No. JDK800.70</t>
  </si>
  <si>
    <t>Water Supply Enhancement Program - JDK - Advanced Treatment of Algae, Taste, &amp; Order</t>
  </si>
  <si>
    <t>3.617</t>
  </si>
  <si>
    <t>WSEP Project No. JDK800.80</t>
  </si>
  <si>
    <t>Water Supply Enhancement Program - MAJ - Advanced Treatment of Algae, Taste, &amp; Odour</t>
  </si>
  <si>
    <t>3.622</t>
  </si>
  <si>
    <t>WSP Project No. MAJ800.85</t>
  </si>
  <si>
    <t>Specific Development Driven</t>
  </si>
  <si>
    <t>WO# 8-0229 - Quinpool Road Transmission Main Upgrades - Quinn St to Beech St (W6.1 and 6.2)
TM Upgrades - FUTURE - Crown Drive to Chebucto Rd &amp; Quinn Street to Beech St</t>
  </si>
  <si>
    <t>Almon Street Upsizing ***, Almon Street Upgrades ***</t>
  </si>
  <si>
    <t>WO#3-3926</t>
  </si>
  <si>
    <t>WO#3-3148</t>
  </si>
  <si>
    <t>W19.1 &amp; W19.2</t>
  </si>
  <si>
    <t>WO#8.0118</t>
  </si>
  <si>
    <t xml:space="preserve">Caledonia Road Twinning </t>
  </si>
  <si>
    <t>WO#3-3927</t>
  </si>
  <si>
    <t>WO3-3560 with Multiple project # - 3.679, 3.575 for Phase 1, 3.576 for Phase 2, 3.577 for Phase 3</t>
  </si>
  <si>
    <t>TM Upgrades - FUTURE - Crown Drive to Chebucto Rd &amp; Quinn Street to Beech Street</t>
  </si>
  <si>
    <t>3.021</t>
  </si>
  <si>
    <t>Remaining Pipe work</t>
  </si>
  <si>
    <t>W01.2</t>
  </si>
  <si>
    <t>Gravity Feed to Brunello</t>
  </si>
  <si>
    <t>watermain to supply Brunello by gravity from upstream of Lakeside PRV to the development at St Margarets Bay Road and Greenhead Road + check valve</t>
  </si>
  <si>
    <t>W02</t>
  </si>
  <si>
    <t>Geizer 158 Looping - Lacewood drive</t>
  </si>
  <si>
    <t>new 600mm diameter watermain along Lacewood Drive (from Chain Lake Drive to Bicentennial Drive)</t>
  </si>
  <si>
    <t>W20</t>
  </si>
  <si>
    <t>Second Geizer 158 feed</t>
  </si>
  <si>
    <t>new 750mm diameter watermain through undeveloped land (from Lacewood Drive to Kearney Control Chamber) (exact alignment TBD)</t>
  </si>
  <si>
    <t>W21</t>
  </si>
  <si>
    <t>Extension to Springfiled Lake</t>
  </si>
  <si>
    <t>new 400mm diameter watermain along Evangeline Trail (from Hamilton Drive to Fenerty Road) + along Fenerty Road (from Evangeline Trail to Springfield Lake Road)</t>
  </si>
  <si>
    <t>Total 2041 Projects</t>
  </si>
  <si>
    <t>Total up to 2040 Projects</t>
  </si>
  <si>
    <t>2024 with WSEP</t>
  </si>
  <si>
    <t>With Updated costs in 2025</t>
  </si>
  <si>
    <t>with WSEP</t>
  </si>
  <si>
    <t>Revised Project Costs</t>
  </si>
  <si>
    <t>Upgrade WWTF to service employment growth flows (Aerotech)</t>
  </si>
  <si>
    <t>D1.01</t>
  </si>
  <si>
    <t>Prince Albert Road Sewer Separtion - Canal Street Pocket</t>
  </si>
  <si>
    <t>Canal Street Pocket</t>
  </si>
  <si>
    <t>2021 Lateral Grouting Pilot</t>
  </si>
  <si>
    <t>Upstream of Kempt CSO</t>
  </si>
  <si>
    <t>Infrastructure Master Plan WW Portion</t>
  </si>
  <si>
    <t>Younge Street Sewer Separation</t>
  </si>
  <si>
    <t>6-2058</t>
  </si>
  <si>
    <t>D2b &amp; D5</t>
  </si>
  <si>
    <t xml:space="preserve">Gravity Sewer Albro Lake to Jamieson St </t>
  </si>
  <si>
    <t>2.836&amp;2.838</t>
  </si>
  <si>
    <t>(D2b + D5 Combined)</t>
  </si>
  <si>
    <t>8-0203</t>
  </si>
  <si>
    <t>4.141</t>
  </si>
  <si>
    <t xml:space="preserve">390 Waverley Road Forcemain Upgrades </t>
  </si>
  <si>
    <t>8-0132</t>
  </si>
  <si>
    <t>8-0206</t>
  </si>
  <si>
    <t>8-0204</t>
  </si>
  <si>
    <t>Biosolids Processing Facility - Facility Upgrade - Construction &amp; Commissioning</t>
  </si>
  <si>
    <t>Many</t>
  </si>
  <si>
    <t xml:space="preserve">SSO &amp; CSO Manaement Program </t>
  </si>
  <si>
    <t>2.1074</t>
  </si>
  <si>
    <t>8-205</t>
  </si>
  <si>
    <t>Multiple Projects (D14, D26, EP18, MC17, WR22, WR23)</t>
  </si>
  <si>
    <t>EP6 &amp; EP7</t>
  </si>
  <si>
    <t>Quigley's Corner PS Relocation Study</t>
  </si>
  <si>
    <t>2.1122</t>
  </si>
  <si>
    <t>8-614</t>
  </si>
  <si>
    <t>2978</t>
  </si>
  <si>
    <t>WO#s 6-2722, 6-1173, 6-1773, 6-2323</t>
  </si>
  <si>
    <t>Mill Cove RDII Reduction Program FMZ07 &amp; FMZ40 - Lower Sackville</t>
  </si>
  <si>
    <t>Mill Cove RDII Reduction Program FMZ10 - Bedford Common</t>
  </si>
  <si>
    <t>Spring Garden Road Pocket</t>
  </si>
  <si>
    <t>WR3.l</t>
  </si>
  <si>
    <t>2.1129</t>
  </si>
  <si>
    <t>WR10 &amp; WR!!</t>
  </si>
  <si>
    <t>WRWIP: BLT WWTF Decommission - New Timberlea PS and forcemains</t>
  </si>
  <si>
    <t>2.609</t>
  </si>
  <si>
    <t>8-0137</t>
  </si>
  <si>
    <t>WR10 and WR11 Combined</t>
  </si>
  <si>
    <t>2.647</t>
  </si>
  <si>
    <t>2.1195</t>
  </si>
  <si>
    <t>2.5570</t>
  </si>
  <si>
    <t>8-0125</t>
  </si>
  <si>
    <t>6-2271</t>
  </si>
  <si>
    <t>2.1197</t>
  </si>
  <si>
    <t>2.1035</t>
  </si>
  <si>
    <t>2.1198</t>
  </si>
  <si>
    <t>2.1196</t>
  </si>
  <si>
    <t>WR1.f</t>
  </si>
  <si>
    <t>2.1073</t>
  </si>
  <si>
    <t>8-0126</t>
  </si>
  <si>
    <t>Spring Garden Road Sewer Separation Pocket, SSP - Spring Garden Road Pocket</t>
  </si>
  <si>
    <t>Younge Street Pocket</t>
  </si>
  <si>
    <t>6-2272</t>
  </si>
  <si>
    <t>Multiple Projects IDs - 2.580, 2.579, 2.581, 2.582</t>
  </si>
  <si>
    <t>Note on BTE - Method 4 - Flow Ratio (modified to include flow and loading ratio as per WWTF Planning Study 2024)</t>
  </si>
  <si>
    <t>2.006</t>
  </si>
  <si>
    <t>Local network upgrades on Caldwell Road</t>
  </si>
  <si>
    <t>WR21</t>
  </si>
  <si>
    <t>2.588</t>
  </si>
  <si>
    <t>MC16</t>
  </si>
  <si>
    <t>Springfield Lake Connection to Sackville</t>
  </si>
  <si>
    <t>WR8</t>
  </si>
  <si>
    <t>New fairfield Holding Tank</t>
  </si>
  <si>
    <t>2025 cost</t>
  </si>
  <si>
    <t>Wet Weather</t>
  </si>
  <si>
    <t>6-2768</t>
  </si>
  <si>
    <t>Infra Escalation for projects updated in 2025</t>
  </si>
  <si>
    <t>2025 Infra Factor</t>
  </si>
  <si>
    <t>escalation from 2025</t>
  </si>
  <si>
    <t>System Constraints Analysis HRM</t>
  </si>
  <si>
    <r>
      <t>Note 1</t>
    </r>
    <r>
      <rPr>
        <sz val="8"/>
        <rFont val="Arial"/>
        <family val="2"/>
      </rPr>
      <t>: Interest during construction 2025 onward 2.09%.</t>
    </r>
  </si>
  <si>
    <t>reduced from 4.286% to 3.857% starting April 1st, 2025</t>
  </si>
  <si>
    <t>Data Source: Bank of Canada V122543: Government of Canada benchmark bond yields,10 year + 0.75% risk premium, - 10 year average, updated April 31, 2024</t>
  </si>
  <si>
    <t>Statscan</t>
  </si>
  <si>
    <t>Table 18-10-0289-01</t>
  </si>
  <si>
    <t>https://www150.statcan.gc.ca/t1/tbl1/en/tv.action?pid=1810028901&amp;pickMembers%5B0%5D=2.7&amp;pickMembers%5B1%5D=3.1&amp;cubeTimeFrame.startMonth=10&amp;cubeTimeFrame.startYear=2001&amp;cubeTimeFrame.endMonth=10&amp;cubeTimeFrame.endYear=2025&amp;referencePeriods=20011001%2C20251001</t>
  </si>
  <si>
    <t>Stats Can Non-Res Buildings - Division Composite</t>
  </si>
  <si>
    <t>Q4 2024</t>
  </si>
  <si>
    <t>Twenty-year average</t>
  </si>
  <si>
    <t>Five-year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</si>
</sst>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"/>
    <numFmt numFmtId="166" formatCode="0.0%"/>
    <numFmt numFmtId="167" formatCode="&quot;$&quot;#,##0.00"/>
    <numFmt numFmtId="168" formatCode="0.0000%"/>
    <numFmt numFmtId="169" formatCode="_(&quot;$&quot;* #,##0_);_(&quot;$&quot;* \(#,##0\);_(&quot;$&quot;* &quot;-&quot;??_);_(@_)"/>
    <numFmt numFmtId="170" formatCode="_(* #,##0_);_(* \(#,##0\);_(* &quot;-&quot;??_);_(@_)"/>
    <numFmt numFmtId="171" formatCode="_(* #,##0.000_);_(* \(#,##0.000\);_(* &quot;-&quot;??_);_(@_)"/>
    <numFmt numFmtId="172" formatCode="0.000%"/>
    <numFmt numFmtId="173" formatCode="&quot;$&quot;#,##0"/>
    <numFmt numFmtId="174" formatCode="_-&quot;$&quot;* #,##0.00_-;\-&quot;$&quot;* #,##0.00_-;_-&quot;$&quot;* &quot;-&quot;??_-;_-@_-"/>
    <numFmt numFmtId="175" formatCode="#,##0.0000"/>
    <numFmt numFmtId="176" formatCode="0.00000"/>
    <numFmt numFmtId="177" formatCode="0.0"/>
    <numFmt numFmtId="178" formatCode="_(* #,##0.0_);_(* \(#,##0.0\);_(* &quot;-&quot;??_);_(@_)"/>
    <numFmt numFmtId="179" formatCode="_(* #,##0.0_);_(* \(#,##0.0\);_(* &quot;-&quot;?_);_(@_)"/>
    <numFmt numFmtId="180" formatCode="[$-409]mmmm\ d\,\ yyyy;@"/>
  </numFmts>
  <fonts count="50" x14ac:knownFonts="1">
    <font>
      <sz val="10"/>
      <name val="Arial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00B0F0"/>
      <name val="Arial"/>
      <family val="2"/>
    </font>
    <font>
      <i/>
      <sz val="10"/>
      <color rgb="FF00B0F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sz val="11"/>
      <name val="Aptos Narrow"/>
      <family val="2"/>
      <scheme val="minor"/>
    </font>
    <font>
      <b/>
      <sz val="18"/>
      <color rgb="FFFF0000"/>
      <name val="Arial"/>
      <family val="2"/>
    </font>
    <font>
      <b/>
      <i/>
      <sz val="10"/>
      <color rgb="FF00B050"/>
      <name val="Arial"/>
      <family val="2"/>
    </font>
    <font>
      <b/>
      <i/>
      <sz val="10"/>
      <color theme="3" tint="0.39997558519241921"/>
      <name val="Arial"/>
      <family val="2"/>
    </font>
    <font>
      <sz val="11"/>
      <name val="Arial"/>
      <family val="2"/>
    </font>
    <font>
      <sz val="10"/>
      <color theme="4"/>
      <name val="Arial"/>
      <family val="2"/>
    </font>
    <font>
      <b/>
      <u/>
      <sz val="10"/>
      <color theme="10"/>
      <name val="Arial"/>
      <family val="2"/>
    </font>
    <font>
      <b/>
      <i/>
      <sz val="10"/>
      <name val="Arial"/>
      <family val="2"/>
    </font>
    <font>
      <u/>
      <sz val="11"/>
      <color theme="1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b/>
      <u/>
      <sz val="16"/>
      <name val="Arial"/>
      <family val="2"/>
    </font>
    <font>
      <sz val="22"/>
      <name val="Arial"/>
      <family val="2"/>
    </font>
    <font>
      <sz val="14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22"/>
      <name val="Arial"/>
      <family val="2"/>
    </font>
    <font>
      <sz val="22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8"/>
      <name val="Arial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2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74" fontId="5" fillId="0" borderId="0" applyFont="0" applyFill="0" applyBorder="0" applyAlignment="0" applyProtection="0"/>
    <xf numFmtId="0" fontId="5" fillId="0" borderId="0"/>
    <xf numFmtId="0" fontId="2" fillId="0" borderId="0"/>
    <xf numFmtId="9" fontId="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58">
    <xf numFmtId="0" fontId="0" fillId="0" borderId="0" xfId="0"/>
    <xf numFmtId="0" fontId="4" fillId="0" borderId="0" xfId="0" applyFont="1"/>
    <xf numFmtId="164" fontId="6" fillId="0" borderId="0" xfId="1" applyNumberFormat="1" applyFont="1" applyAlignment="1">
      <alignment horizontal="center"/>
    </xf>
    <xf numFmtId="165" fontId="6" fillId="0" borderId="0" xfId="0" applyNumberFormat="1" applyFont="1"/>
    <xf numFmtId="165" fontId="6" fillId="0" borderId="0" xfId="0" applyNumberFormat="1" applyFont="1" applyAlignment="1">
      <alignment horizontal="right"/>
    </xf>
    <xf numFmtId="3" fontId="6" fillId="0" borderId="0" xfId="0" applyNumberFormat="1" applyFont="1"/>
    <xf numFmtId="0" fontId="6" fillId="0" borderId="0" xfId="0" applyFont="1"/>
    <xf numFmtId="10" fontId="4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left"/>
    </xf>
    <xf numFmtId="166" fontId="7" fillId="0" borderId="0" xfId="3" applyNumberFormat="1" applyFont="1" applyAlignment="1">
      <alignment horizontal="center"/>
    </xf>
    <xf numFmtId="0" fontId="9" fillId="0" borderId="0" xfId="0" applyFont="1"/>
    <xf numFmtId="164" fontId="10" fillId="0" borderId="0" xfId="0" applyNumberFormat="1" applyFont="1" applyAlignment="1">
      <alignment horizontal="center"/>
    </xf>
    <xf numFmtId="167" fontId="10" fillId="0" borderId="0" xfId="0" applyNumberFormat="1" applyFont="1"/>
    <xf numFmtId="167" fontId="10" fillId="0" borderId="0" xfId="0" applyNumberFormat="1" applyFont="1" applyAlignment="1">
      <alignment horizontal="right"/>
    </xf>
    <xf numFmtId="167" fontId="11" fillId="0" borderId="0" xfId="0" applyNumberFormat="1" applyFont="1"/>
    <xf numFmtId="0" fontId="10" fillId="0" borderId="0" xfId="0" applyFont="1"/>
    <xf numFmtId="165" fontId="10" fillId="0" borderId="0" xfId="0" applyNumberFormat="1" applyFont="1"/>
    <xf numFmtId="10" fontId="9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left"/>
    </xf>
    <xf numFmtId="166" fontId="12" fillId="0" borderId="0" xfId="3" applyNumberFormat="1" applyFont="1" applyAlignment="1">
      <alignment horizontal="center"/>
    </xf>
    <xf numFmtId="164" fontId="10" fillId="0" borderId="0" xfId="1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165" fontId="14" fillId="0" borderId="0" xfId="5" applyNumberFormat="1" applyAlignment="1" applyProtection="1"/>
    <xf numFmtId="3" fontId="10" fillId="0" borderId="0" xfId="0" applyNumberFormat="1" applyFo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right"/>
    </xf>
    <xf numFmtId="167" fontId="11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166" fontId="16" fillId="0" borderId="0" xfId="3" applyNumberFormat="1" applyFont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wrapText="1"/>
    </xf>
    <xf numFmtId="165" fontId="15" fillId="0" borderId="1" xfId="0" applyNumberFormat="1" applyFont="1" applyBorder="1" applyAlignment="1">
      <alignment horizontal="center"/>
    </xf>
    <xf numFmtId="166" fontId="16" fillId="0" borderId="1" xfId="3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167" fontId="17" fillId="0" borderId="0" xfId="0" applyNumberFormat="1" applyFont="1"/>
    <xf numFmtId="165" fontId="17" fillId="0" borderId="0" xfId="0" applyNumberFormat="1" applyFont="1"/>
    <xf numFmtId="10" fontId="15" fillId="0" borderId="0" xfId="0" applyNumberFormat="1" applyFont="1" applyAlignment="1">
      <alignment horizontal="center"/>
    </xf>
    <xf numFmtId="166" fontId="16" fillId="0" borderId="0" xfId="3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7" fontId="15" fillId="0" borderId="0" xfId="0" applyNumberFormat="1" applyFont="1"/>
    <xf numFmtId="166" fontId="16" fillId="0" borderId="0" xfId="3" applyNumberFormat="1" applyFont="1" applyFill="1" applyAlignment="1">
      <alignment horizontal="center"/>
    </xf>
    <xf numFmtId="0" fontId="5" fillId="0" borderId="0" xfId="0" quotePrefix="1" applyFont="1" applyAlignment="1">
      <alignment horizontal="right"/>
    </xf>
    <xf numFmtId="0" fontId="5" fillId="0" borderId="0" xfId="0" quotePrefix="1" applyFont="1"/>
    <xf numFmtId="8" fontId="17" fillId="0" borderId="0" xfId="0" applyNumberFormat="1" applyFont="1"/>
    <xf numFmtId="0" fontId="3" fillId="2" borderId="0" xfId="4" applyAlignment="1">
      <alignment horizontal="center"/>
    </xf>
    <xf numFmtId="0" fontId="3" fillId="2" borderId="0" xfId="4"/>
    <xf numFmtId="0" fontId="3" fillId="2" borderId="0" xfId="4" applyAlignment="1">
      <alignment horizontal="right"/>
    </xf>
    <xf numFmtId="167" fontId="3" fillId="2" borderId="0" xfId="4" applyNumberFormat="1"/>
    <xf numFmtId="166" fontId="3" fillId="2" borderId="0" xfId="4" applyNumberFormat="1" applyAlignment="1">
      <alignment horizontal="center"/>
    </xf>
    <xf numFmtId="49" fontId="5" fillId="0" borderId="0" xfId="0" quotePrefix="1" applyNumberFormat="1" applyFont="1" applyAlignment="1">
      <alignment horizontal="right"/>
    </xf>
    <xf numFmtId="0" fontId="17" fillId="5" borderId="0" xfId="0" applyFont="1" applyFill="1" applyAlignment="1">
      <alignment horizontal="center"/>
    </xf>
    <xf numFmtId="0" fontId="5" fillId="5" borderId="0" xfId="0" applyFont="1" applyFill="1"/>
    <xf numFmtId="0" fontId="18" fillId="5" borderId="0" xfId="0" applyFont="1" applyFill="1" applyAlignment="1">
      <alignment horizontal="center"/>
    </xf>
    <xf numFmtId="0" fontId="19" fillId="0" borderId="0" xfId="0" applyFont="1"/>
    <xf numFmtId="0" fontId="19" fillId="0" borderId="0" xfId="0" quotePrefix="1" applyFont="1"/>
    <xf numFmtId="0" fontId="19" fillId="0" borderId="0" xfId="0" quotePrefix="1" applyFont="1" applyAlignment="1">
      <alignment horizontal="right"/>
    </xf>
    <xf numFmtId="0" fontId="0" fillId="0" borderId="0" xfId="0" quotePrefix="1"/>
    <xf numFmtId="44" fontId="16" fillId="0" borderId="0" xfId="2" applyFont="1" applyFill="1" applyAlignment="1">
      <alignment horizontal="center"/>
    </xf>
    <xf numFmtId="0" fontId="5" fillId="0" borderId="0" xfId="0" applyFont="1" applyAlignment="1">
      <alignment horizontal="center"/>
    </xf>
    <xf numFmtId="166" fontId="16" fillId="0" borderId="0" xfId="3" quotePrefix="1" applyNumberFormat="1" applyFont="1" applyFill="1" applyBorder="1" applyAlignment="1">
      <alignment horizontal="center"/>
    </xf>
    <xf numFmtId="167" fontId="17" fillId="0" borderId="0" xfId="0" quotePrefix="1" applyNumberFormat="1" applyFont="1"/>
    <xf numFmtId="165" fontId="17" fillId="0" borderId="0" xfId="0" quotePrefix="1" applyNumberFormat="1" applyFont="1"/>
    <xf numFmtId="166" fontId="15" fillId="0" borderId="0" xfId="3" quotePrefix="1" applyNumberFormat="1" applyFont="1" applyFill="1" applyBorder="1" applyAlignment="1">
      <alignment horizontal="center"/>
    </xf>
    <xf numFmtId="166" fontId="15" fillId="0" borderId="0" xfId="3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67" fontId="5" fillId="0" borderId="0" xfId="0" applyNumberFormat="1" applyFont="1"/>
    <xf numFmtId="166" fontId="16" fillId="0" borderId="0" xfId="3" applyNumberFormat="1" applyFont="1" applyAlignment="1">
      <alignment horizontal="center"/>
    </xf>
    <xf numFmtId="0" fontId="0" fillId="0" borderId="0" xfId="0" applyAlignment="1">
      <alignment horizontal="right"/>
    </xf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167" fontId="0" fillId="0" borderId="0" xfId="0" applyNumberFormat="1"/>
    <xf numFmtId="9" fontId="0" fillId="0" borderId="0" xfId="3" applyFont="1"/>
    <xf numFmtId="165" fontId="22" fillId="0" borderId="0" xfId="0" applyNumberFormat="1" applyFont="1"/>
    <xf numFmtId="0" fontId="8" fillId="0" borderId="0" xfId="0" applyFont="1"/>
    <xf numFmtId="169" fontId="0" fillId="0" borderId="0" xfId="0" applyNumberFormat="1" applyAlignment="1">
      <alignment horizontal="center"/>
    </xf>
    <xf numFmtId="7" fontId="0" fillId="0" borderId="0" xfId="0" applyNumberFormat="1"/>
    <xf numFmtId="0" fontId="21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43" fontId="0" fillId="0" borderId="0" xfId="1" applyFont="1" applyFill="1"/>
    <xf numFmtId="169" fontId="0" fillId="0" borderId="2" xfId="0" applyNumberFormat="1" applyBorder="1" applyAlignment="1">
      <alignment horizontal="center"/>
    </xf>
    <xf numFmtId="169" fontId="23" fillId="0" borderId="0" xfId="0" applyNumberFormat="1" applyFont="1" applyAlignment="1">
      <alignment horizontal="center"/>
    </xf>
    <xf numFmtId="166" fontId="0" fillId="0" borderId="0" xfId="3" applyNumberFormat="1" applyFont="1" applyBorder="1" applyAlignment="1">
      <alignment horizontal="center"/>
    </xf>
    <xf numFmtId="166" fontId="0" fillId="0" borderId="0" xfId="3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9" fontId="0" fillId="0" borderId="0" xfId="2" applyNumberFormat="1" applyFont="1" applyFill="1" applyBorder="1" applyAlignment="1">
      <alignment horizontal="center"/>
    </xf>
    <xf numFmtId="170" fontId="0" fillId="0" borderId="0" xfId="1" applyNumberFormat="1" applyFont="1"/>
    <xf numFmtId="170" fontId="0" fillId="0" borderId="0" xfId="1" applyNumberFormat="1" applyFont="1" applyFill="1"/>
    <xf numFmtId="170" fontId="0" fillId="0" borderId="0" xfId="0" applyNumberFormat="1"/>
    <xf numFmtId="171" fontId="0" fillId="0" borderId="0" xfId="0" applyNumberFormat="1"/>
    <xf numFmtId="44" fontId="15" fillId="6" borderId="0" xfId="2" applyFont="1" applyFill="1"/>
    <xf numFmtId="9" fontId="5" fillId="0" borderId="0" xfId="3" applyFont="1" applyFill="1" applyAlignment="1">
      <alignment horizontal="center"/>
    </xf>
    <xf numFmtId="44" fontId="5" fillId="0" borderId="0" xfId="0" applyNumberFormat="1" applyFont="1"/>
    <xf numFmtId="44" fontId="24" fillId="0" borderId="0" xfId="2" applyFont="1" applyFill="1"/>
    <xf numFmtId="44" fontId="0" fillId="0" borderId="0" xfId="2" applyFont="1" applyFill="1"/>
    <xf numFmtId="44" fontId="15" fillId="0" borderId="0" xfId="0" applyNumberFormat="1" applyFont="1"/>
    <xf numFmtId="170" fontId="15" fillId="0" borderId="0" xfId="0" applyNumberFormat="1" applyFont="1"/>
    <xf numFmtId="44" fontId="0" fillId="0" borderId="0" xfId="2" applyFont="1" applyFill="1" applyBorder="1"/>
    <xf numFmtId="10" fontId="0" fillId="0" borderId="0" xfId="3" applyNumberFormat="1" applyFont="1" applyFill="1" applyBorder="1"/>
    <xf numFmtId="44" fontId="24" fillId="0" borderId="0" xfId="0" applyNumberFormat="1" applyFont="1"/>
    <xf numFmtId="44" fontId="15" fillId="3" borderId="0" xfId="0" applyNumberFormat="1" applyFont="1" applyFill="1"/>
    <xf numFmtId="44" fontId="0" fillId="0" borderId="0" xfId="0" applyNumberFormat="1"/>
    <xf numFmtId="169" fontId="15" fillId="0" borderId="0" xfId="2" applyNumberFormat="1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44" fontId="0" fillId="0" borderId="4" xfId="0" applyNumberFormat="1" applyBorder="1"/>
    <xf numFmtId="10" fontId="0" fillId="0" borderId="0" xfId="3" applyNumberFormat="1" applyFont="1"/>
    <xf numFmtId="0" fontId="19" fillId="0" borderId="4" xfId="0" applyFont="1" applyBorder="1" applyAlignment="1">
      <alignment horizontal="center"/>
    </xf>
    <xf numFmtId="10" fontId="19" fillId="0" borderId="4" xfId="3" applyNumberFormat="1" applyFont="1" applyBorder="1" applyAlignment="1">
      <alignment horizontal="center"/>
    </xf>
    <xf numFmtId="166" fontId="19" fillId="0" borderId="4" xfId="3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left"/>
    </xf>
    <xf numFmtId="166" fontId="6" fillId="0" borderId="0" xfId="3" applyNumberFormat="1" applyFont="1" applyAlignment="1">
      <alignment horizontal="center"/>
    </xf>
    <xf numFmtId="166" fontId="9" fillId="0" borderId="0" xfId="0" applyNumberFormat="1" applyFont="1" applyAlignment="1">
      <alignment horizontal="left"/>
    </xf>
    <xf numFmtId="166" fontId="10" fillId="0" borderId="0" xfId="3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  <xf numFmtId="166" fontId="15" fillId="0" borderId="0" xfId="3" applyNumberFormat="1" applyFont="1" applyBorder="1" applyAlignment="1">
      <alignment horizontal="center"/>
    </xf>
    <xf numFmtId="166" fontId="15" fillId="0" borderId="1" xfId="0" applyNumberFormat="1" applyFont="1" applyBorder="1" applyAlignment="1">
      <alignment horizontal="center"/>
    </xf>
    <xf numFmtId="166" fontId="15" fillId="0" borderId="1" xfId="3" applyNumberFormat="1" applyFont="1" applyBorder="1" applyAlignment="1">
      <alignment horizontal="center"/>
    </xf>
    <xf numFmtId="166" fontId="17" fillId="0" borderId="0" xfId="3" applyNumberFormat="1" applyFont="1" applyFill="1" applyBorder="1" applyAlignment="1">
      <alignment horizontal="center"/>
    </xf>
    <xf numFmtId="166" fontId="3" fillId="2" borderId="0" xfId="4" applyNumberFormat="1"/>
    <xf numFmtId="165" fontId="5" fillId="0" borderId="0" xfId="0" applyNumberFormat="1" applyFont="1"/>
    <xf numFmtId="166" fontId="5" fillId="0" borderId="0" xfId="3" applyNumberFormat="1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7" fillId="0" borderId="0" xfId="0" applyFont="1"/>
    <xf numFmtId="0" fontId="23" fillId="0" borderId="0" xfId="0" quotePrefix="1" applyFont="1" applyAlignment="1">
      <alignment horizontal="right"/>
    </xf>
    <xf numFmtId="0" fontId="23" fillId="0" borderId="0" xfId="0" applyFont="1"/>
    <xf numFmtId="165" fontId="23" fillId="0" borderId="0" xfId="0" applyNumberFormat="1" applyFont="1"/>
    <xf numFmtId="166" fontId="16" fillId="0" borderId="0" xfId="0" applyNumberFormat="1" applyFont="1" applyAlignment="1">
      <alignment horizontal="center"/>
    </xf>
    <xf numFmtId="166" fontId="23" fillId="0" borderId="0" xfId="3" applyNumberFormat="1" applyFont="1" applyFill="1" applyAlignment="1">
      <alignment horizontal="center"/>
    </xf>
    <xf numFmtId="0" fontId="16" fillId="0" borderId="0" xfId="0" applyFont="1"/>
    <xf numFmtId="17" fontId="5" fillId="0" borderId="0" xfId="0" quotePrefix="1" applyNumberFormat="1" applyFont="1"/>
    <xf numFmtId="166" fontId="5" fillId="0" borderId="0" xfId="3" applyNumberFormat="1" applyFont="1" applyFill="1" applyAlignment="1">
      <alignment horizontal="center"/>
    </xf>
    <xf numFmtId="0" fontId="5" fillId="0" borderId="0" xfId="0" quotePrefix="1" applyFont="1" applyAlignment="1">
      <alignment horizontal="left"/>
    </xf>
    <xf numFmtId="0" fontId="3" fillId="2" borderId="0" xfId="4" applyAlignment="1">
      <alignment horizontal="left"/>
    </xf>
    <xf numFmtId="0" fontId="5" fillId="0" borderId="0" xfId="0" quotePrefix="1" applyFont="1" applyAlignment="1">
      <alignment horizontal="center"/>
    </xf>
    <xf numFmtId="166" fontId="17" fillId="0" borderId="0" xfId="3" quotePrefix="1" applyNumberFormat="1" applyFont="1" applyFill="1" applyBorder="1" applyAlignment="1">
      <alignment horizontal="center"/>
    </xf>
    <xf numFmtId="17" fontId="5" fillId="0" borderId="0" xfId="0" quotePrefix="1" applyNumberFormat="1" applyFont="1" applyAlignment="1">
      <alignment horizontal="left"/>
    </xf>
    <xf numFmtId="43" fontId="5" fillId="0" borderId="0" xfId="0" quotePrefix="1" applyNumberFormat="1" applyFont="1" applyAlignment="1">
      <alignment horizontal="right"/>
    </xf>
    <xf numFmtId="43" fontId="5" fillId="0" borderId="0" xfId="0" applyNumberFormat="1" applyFont="1" applyAlignment="1">
      <alignment horizontal="center"/>
    </xf>
    <xf numFmtId="43" fontId="5" fillId="0" borderId="0" xfId="0" applyNumberFormat="1" applyFont="1" applyAlignment="1">
      <alignment horizontal="right"/>
    </xf>
    <xf numFmtId="166" fontId="3" fillId="2" borderId="0" xfId="4" applyNumberFormat="1" applyBorder="1" applyAlignment="1">
      <alignment horizontal="center"/>
    </xf>
    <xf numFmtId="0" fontId="28" fillId="0" borderId="0" xfId="4" quotePrefix="1" applyFont="1" applyFill="1" applyAlignment="1">
      <alignment horizontal="right"/>
    </xf>
    <xf numFmtId="0" fontId="28" fillId="0" borderId="0" xfId="4" quotePrefix="1" applyFont="1" applyFill="1"/>
    <xf numFmtId="0" fontId="28" fillId="0" borderId="0" xfId="4" applyFont="1" applyFill="1"/>
    <xf numFmtId="0" fontId="28" fillId="0" borderId="0" xfId="4" applyFont="1" applyFill="1" applyAlignment="1">
      <alignment horizontal="right"/>
    </xf>
    <xf numFmtId="0" fontId="3" fillId="0" borderId="0" xfId="4" applyFill="1"/>
    <xf numFmtId="166" fontId="15" fillId="0" borderId="0" xfId="0" applyNumberFormat="1" applyFont="1"/>
    <xf numFmtId="166" fontId="15" fillId="0" borderId="0" xfId="3" applyNumberFormat="1" applyFont="1" applyAlignment="1">
      <alignment horizontal="center"/>
    </xf>
    <xf numFmtId="166" fontId="0" fillId="0" borderId="0" xfId="0" applyNumberFormat="1"/>
    <xf numFmtId="166" fontId="0" fillId="0" borderId="0" xfId="3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9" fontId="0" fillId="0" borderId="3" xfId="0" applyNumberFormat="1" applyBorder="1" applyAlignment="1">
      <alignment horizontal="center"/>
    </xf>
    <xf numFmtId="0" fontId="15" fillId="7" borderId="4" xfId="0" applyFont="1" applyFill="1" applyBorder="1"/>
    <xf numFmtId="0" fontId="15" fillId="7" borderId="4" xfId="0" applyFont="1" applyFill="1" applyBorder="1" applyAlignment="1">
      <alignment horizontal="center"/>
    </xf>
    <xf numFmtId="0" fontId="15" fillId="7" borderId="4" xfId="0" applyFont="1" applyFill="1" applyBorder="1" applyAlignment="1">
      <alignment horizontal="right"/>
    </xf>
    <xf numFmtId="44" fontId="5" fillId="0" borderId="4" xfId="0" applyNumberFormat="1" applyFont="1" applyBorder="1"/>
    <xf numFmtId="44" fontId="5" fillId="0" borderId="0" xfId="2" applyFont="1" applyFill="1" applyBorder="1"/>
    <xf numFmtId="1" fontId="6" fillId="0" borderId="0" xfId="1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10" fillId="0" borderId="0" xfId="1" applyNumberFormat="1" applyFont="1" applyAlignment="1">
      <alignment horizontal="center"/>
    </xf>
    <xf numFmtId="0" fontId="18" fillId="0" borderId="0" xfId="0" applyFont="1" applyAlignment="1">
      <alignment horizontal="center"/>
    </xf>
    <xf numFmtId="172" fontId="0" fillId="0" borderId="0" xfId="3" applyNumberFormat="1" applyFont="1" applyFill="1"/>
    <xf numFmtId="0" fontId="19" fillId="0" borderId="0" xfId="0" applyFont="1" applyAlignment="1">
      <alignment horizontal="center"/>
    </xf>
    <xf numFmtId="171" fontId="0" fillId="0" borderId="0" xfId="1" applyNumberFormat="1" applyFont="1" applyFill="1"/>
    <xf numFmtId="169" fontId="29" fillId="0" borderId="0" xfId="2" applyNumberFormat="1" applyFont="1"/>
    <xf numFmtId="169" fontId="6" fillId="0" borderId="0" xfId="2" applyNumberFormat="1" applyFont="1"/>
    <xf numFmtId="6" fontId="6" fillId="0" borderId="0" xfId="2" applyNumberFormat="1" applyFont="1"/>
    <xf numFmtId="6" fontId="6" fillId="0" borderId="0" xfId="0" applyNumberFormat="1" applyFont="1"/>
    <xf numFmtId="6" fontId="6" fillId="0" borderId="0" xfId="2" applyNumberFormat="1" applyFont="1" applyFill="1"/>
    <xf numFmtId="169" fontId="13" fillId="0" borderId="0" xfId="2" applyNumberFormat="1" applyFont="1"/>
    <xf numFmtId="169" fontId="10" fillId="0" borderId="0" xfId="2" applyNumberFormat="1" applyFont="1"/>
    <xf numFmtId="6" fontId="10" fillId="0" borderId="0" xfId="2" applyNumberFormat="1" applyFont="1"/>
    <xf numFmtId="6" fontId="10" fillId="0" borderId="0" xfId="0" applyNumberFormat="1" applyFont="1"/>
    <xf numFmtId="6" fontId="10" fillId="0" borderId="0" xfId="2" applyNumberFormat="1" applyFont="1" applyFill="1"/>
    <xf numFmtId="8" fontId="15" fillId="0" borderId="1" xfId="0" applyNumberFormat="1" applyFont="1" applyBorder="1"/>
    <xf numFmtId="1" fontId="0" fillId="0" borderId="0" xfId="1" applyNumberFormat="1" applyFont="1" applyAlignment="1">
      <alignment horizontal="center"/>
    </xf>
    <xf numFmtId="164" fontId="0" fillId="0" borderId="0" xfId="1" applyNumberFormat="1" applyFont="1" applyAlignment="1">
      <alignment horizontal="center"/>
    </xf>
    <xf numFmtId="169" fontId="30" fillId="0" borderId="0" xfId="2" applyNumberFormat="1" applyFont="1" applyBorder="1" applyAlignment="1">
      <alignment horizontal="center"/>
    </xf>
    <xf numFmtId="169" fontId="24" fillId="0" borderId="0" xfId="2" applyNumberFormat="1" applyFont="1" applyBorder="1" applyAlignment="1">
      <alignment horizontal="center"/>
    </xf>
    <xf numFmtId="6" fontId="31" fillId="0" borderId="0" xfId="2" applyNumberFormat="1" applyFont="1" applyAlignment="1">
      <alignment horizontal="center"/>
    </xf>
    <xf numFmtId="6" fontId="0" fillId="0" borderId="0" xfId="2" applyNumberFormat="1" applyFont="1"/>
    <xf numFmtId="6" fontId="0" fillId="0" borderId="0" xfId="2" applyNumberFormat="1" applyFont="1" applyFill="1"/>
    <xf numFmtId="6" fontId="5" fillId="0" borderId="0" xfId="0" applyNumberFormat="1" applyFont="1"/>
    <xf numFmtId="1" fontId="15" fillId="0" borderId="0" xfId="1" applyNumberFormat="1" applyFont="1" applyBorder="1" applyAlignment="1">
      <alignment horizontal="center"/>
    </xf>
    <xf numFmtId="164" fontId="15" fillId="0" borderId="0" xfId="1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"/>
    </xf>
    <xf numFmtId="169" fontId="15" fillId="0" borderId="0" xfId="2" applyNumberFormat="1" applyFont="1" applyBorder="1" applyAlignment="1">
      <alignment horizontal="center"/>
    </xf>
    <xf numFmtId="169" fontId="0" fillId="0" borderId="0" xfId="2" applyNumberFormat="1" applyFont="1"/>
    <xf numFmtId="6" fontId="15" fillId="0" borderId="0" xfId="2" applyNumberFormat="1" applyFont="1" applyFill="1" applyBorder="1" applyAlignment="1">
      <alignment horizontal="center"/>
    </xf>
    <xf numFmtId="1" fontId="15" fillId="0" borderId="1" xfId="1" applyNumberFormat="1" applyFont="1" applyBorder="1" applyAlignment="1">
      <alignment horizontal="center"/>
    </xf>
    <xf numFmtId="164" fontId="15" fillId="0" borderId="1" xfId="1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169" fontId="15" fillId="0" borderId="1" xfId="2" applyNumberFormat="1" applyFont="1" applyBorder="1" applyAlignment="1">
      <alignment horizontal="center"/>
    </xf>
    <xf numFmtId="6" fontId="15" fillId="0" borderId="1" xfId="2" applyNumberFormat="1" applyFont="1" applyBorder="1" applyAlignment="1">
      <alignment horizontal="center"/>
    </xf>
    <xf numFmtId="6" fontId="15" fillId="0" borderId="1" xfId="2" applyNumberFormat="1" applyFont="1" applyFill="1" applyBorder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center"/>
    </xf>
    <xf numFmtId="1" fontId="33" fillId="0" borderId="0" xfId="1" applyNumberFormat="1" applyFont="1" applyBorder="1" applyAlignment="1">
      <alignment horizontal="center"/>
    </xf>
    <xf numFmtId="49" fontId="33" fillId="0" borderId="0" xfId="1" applyNumberFormat="1" applyFont="1" applyBorder="1" applyAlignment="1">
      <alignment horizontal="center"/>
    </xf>
    <xf numFmtId="165" fontId="33" fillId="0" borderId="0" xfId="0" applyNumberFormat="1" applyFont="1"/>
    <xf numFmtId="8" fontId="33" fillId="0" borderId="0" xfId="0" applyNumberFormat="1" applyFont="1"/>
    <xf numFmtId="8" fontId="5" fillId="0" borderId="0" xfId="2" applyNumberFormat="1" applyFont="1" applyFill="1" applyBorder="1"/>
    <xf numFmtId="8" fontId="5" fillId="0" borderId="0" xfId="2" applyNumberFormat="1" applyFont="1" applyBorder="1"/>
    <xf numFmtId="173" fontId="5" fillId="0" borderId="0" xfId="0" applyNumberFormat="1" applyFont="1"/>
    <xf numFmtId="1" fontId="5" fillId="0" borderId="0" xfId="1" applyNumberFormat="1" applyFont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8" fontId="5" fillId="0" borderId="0" xfId="0" applyNumberFormat="1" applyFont="1"/>
    <xf numFmtId="1" fontId="33" fillId="0" borderId="0" xfId="1" applyNumberFormat="1" applyFont="1" applyFill="1" applyBorder="1" applyAlignment="1">
      <alignment horizontal="center"/>
    </xf>
    <xf numFmtId="49" fontId="33" fillId="0" borderId="0" xfId="1" applyNumberFormat="1" applyFont="1" applyFill="1" applyBorder="1" applyAlignment="1">
      <alignment horizontal="center"/>
    </xf>
    <xf numFmtId="6" fontId="33" fillId="0" borderId="0" xfId="0" applyNumberFormat="1" applyFont="1"/>
    <xf numFmtId="6" fontId="5" fillId="0" borderId="0" xfId="2" applyNumberFormat="1" applyFont="1" applyBorder="1"/>
    <xf numFmtId="6" fontId="5" fillId="0" borderId="0" xfId="2" applyNumberFormat="1" applyFont="1" applyFill="1" applyBorder="1"/>
    <xf numFmtId="0" fontId="5" fillId="0" borderId="5" xfId="0" applyFont="1" applyBorder="1" applyAlignment="1">
      <alignment horizontal="center"/>
    </xf>
    <xf numFmtId="1" fontId="5" fillId="0" borderId="5" xfId="1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5" fontId="5" fillId="0" borderId="5" xfId="0" applyNumberFormat="1" applyFont="1" applyBorder="1"/>
    <xf numFmtId="6" fontId="5" fillId="0" borderId="5" xfId="0" applyNumberFormat="1" applyFont="1" applyBorder="1"/>
    <xf numFmtId="6" fontId="5" fillId="0" borderId="5" xfId="2" applyNumberFormat="1" applyFont="1" applyBorder="1"/>
    <xf numFmtId="6" fontId="5" fillId="0" borderId="5" xfId="2" applyNumberFormat="1" applyFont="1" applyFill="1" applyBorder="1"/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6" fontId="5" fillId="0" borderId="0" xfId="2" applyNumberFormat="1" applyFont="1"/>
    <xf numFmtId="6" fontId="5" fillId="0" borderId="0" xfId="2" applyNumberFormat="1" applyFont="1" applyFill="1"/>
    <xf numFmtId="1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165" fontId="15" fillId="0" borderId="0" xfId="0" applyNumberFormat="1" applyFont="1"/>
    <xf numFmtId="6" fontId="15" fillId="0" borderId="0" xfId="2" applyNumberFormat="1" applyFont="1"/>
    <xf numFmtId="6" fontId="34" fillId="0" borderId="0" xfId="5" applyNumberFormat="1" applyFont="1" applyAlignment="1" applyProtection="1"/>
    <xf numFmtId="6" fontId="5" fillId="0" borderId="0" xfId="2" applyNumberFormat="1" applyFont="1" applyAlignment="1">
      <alignment horizontal="right"/>
    </xf>
    <xf numFmtId="170" fontId="5" fillId="0" borderId="0" xfId="1" applyNumberFormat="1" applyFont="1" applyAlignment="1">
      <alignment horizontal="center"/>
    </xf>
    <xf numFmtId="170" fontId="5" fillId="0" borderId="0" xfId="1" applyNumberFormat="1" applyFont="1"/>
    <xf numFmtId="170" fontId="5" fillId="0" borderId="0" xfId="1" applyNumberFormat="1" applyFont="1" applyBorder="1"/>
    <xf numFmtId="169" fontId="5" fillId="0" borderId="0" xfId="2" applyNumberFormat="1" applyFont="1"/>
    <xf numFmtId="169" fontId="5" fillId="0" borderId="0" xfId="6" applyNumberFormat="1" applyFont="1" applyFill="1" applyBorder="1" applyAlignment="1"/>
    <xf numFmtId="6" fontId="0" fillId="0" borderId="0" xfId="0" applyNumberFormat="1"/>
    <xf numFmtId="169" fontId="5" fillId="0" borderId="0" xfId="0" applyNumberFormat="1" applyFont="1"/>
    <xf numFmtId="6" fontId="15" fillId="0" borderId="0" xfId="2" applyNumberFormat="1" applyFont="1" applyFill="1" applyBorder="1"/>
    <xf numFmtId="8" fontId="0" fillId="0" borderId="0" xfId="0" applyNumberFormat="1"/>
    <xf numFmtId="8" fontId="5" fillId="0" borderId="5" xfId="2" applyNumberFormat="1" applyFont="1" applyFill="1" applyBorder="1"/>
    <xf numFmtId="44" fontId="5" fillId="0" borderId="0" xfId="2" applyFont="1" applyBorder="1"/>
    <xf numFmtId="10" fontId="0" fillId="0" borderId="0" xfId="3" applyNumberFormat="1" applyFont="1" applyBorder="1"/>
    <xf numFmtId="0" fontId="0" fillId="0" borderId="12" xfId="0" applyBorder="1"/>
    <xf numFmtId="0" fontId="15" fillId="0" borderId="13" xfId="0" applyFont="1" applyBorder="1" applyAlignment="1">
      <alignment horizontal="center"/>
    </xf>
    <xf numFmtId="44" fontId="0" fillId="0" borderId="13" xfId="0" applyNumberFormat="1" applyBorder="1"/>
    <xf numFmtId="0" fontId="0" fillId="0" borderId="14" xfId="0" applyBorder="1"/>
    <xf numFmtId="44" fontId="0" fillId="0" borderId="6" xfId="0" applyNumberFormat="1" applyBorder="1"/>
    <xf numFmtId="44" fontId="0" fillId="0" borderId="15" xfId="0" applyNumberFormat="1" applyBorder="1"/>
    <xf numFmtId="0" fontId="19" fillId="8" borderId="16" xfId="0" applyFont="1" applyFill="1" applyBorder="1" applyAlignment="1">
      <alignment horizontal="center"/>
    </xf>
    <xf numFmtId="0" fontId="19" fillId="8" borderId="7" xfId="0" applyFont="1" applyFill="1" applyBorder="1" applyAlignment="1">
      <alignment horizontal="center"/>
    </xf>
    <xf numFmtId="10" fontId="19" fillId="8" borderId="7" xfId="3" applyNumberFormat="1" applyFont="1" applyFill="1" applyBorder="1" applyAlignment="1">
      <alignment horizontal="center"/>
    </xf>
    <xf numFmtId="166" fontId="19" fillId="8" borderId="17" xfId="3" applyNumberFormat="1" applyFont="1" applyFill="1" applyBorder="1" applyAlignment="1">
      <alignment horizontal="center"/>
    </xf>
    <xf numFmtId="0" fontId="35" fillId="8" borderId="14" xfId="0" applyFont="1" applyFill="1" applyBorder="1" applyAlignment="1">
      <alignment horizontal="center"/>
    </xf>
    <xf numFmtId="0" fontId="35" fillId="8" borderId="6" xfId="0" applyFont="1" applyFill="1" applyBorder="1" applyAlignment="1">
      <alignment horizontal="center"/>
    </xf>
    <xf numFmtId="10" fontId="35" fillId="8" borderId="6" xfId="3" applyNumberFormat="1" applyFont="1" applyFill="1" applyBorder="1" applyAlignment="1">
      <alignment horizontal="center"/>
    </xf>
    <xf numFmtId="166" fontId="35" fillId="8" borderId="15" xfId="3" applyNumberFormat="1" applyFont="1" applyFill="1" applyBorder="1" applyAlignment="1">
      <alignment horizontal="center"/>
    </xf>
    <xf numFmtId="0" fontId="19" fillId="9" borderId="16" xfId="0" applyFont="1" applyFill="1" applyBorder="1" applyAlignment="1">
      <alignment horizontal="center"/>
    </xf>
    <xf numFmtId="0" fontId="19" fillId="9" borderId="7" xfId="0" applyFont="1" applyFill="1" applyBorder="1" applyAlignment="1">
      <alignment horizontal="center"/>
    </xf>
    <xf numFmtId="10" fontId="19" fillId="9" borderId="7" xfId="3" applyNumberFormat="1" applyFont="1" applyFill="1" applyBorder="1" applyAlignment="1">
      <alignment horizontal="center"/>
    </xf>
    <xf numFmtId="166" fontId="19" fillId="9" borderId="17" xfId="3" applyNumberFormat="1" applyFont="1" applyFill="1" applyBorder="1" applyAlignment="1">
      <alignment horizontal="center"/>
    </xf>
    <xf numFmtId="0" fontId="35" fillId="9" borderId="14" xfId="0" applyFont="1" applyFill="1" applyBorder="1" applyAlignment="1">
      <alignment horizontal="center"/>
    </xf>
    <xf numFmtId="0" fontId="35" fillId="9" borderId="6" xfId="0" applyFont="1" applyFill="1" applyBorder="1" applyAlignment="1">
      <alignment horizontal="center"/>
    </xf>
    <xf numFmtId="10" fontId="35" fillId="9" borderId="6" xfId="3" applyNumberFormat="1" applyFont="1" applyFill="1" applyBorder="1" applyAlignment="1">
      <alignment horizontal="center"/>
    </xf>
    <xf numFmtId="166" fontId="35" fillId="9" borderId="15" xfId="3" applyNumberFormat="1" applyFont="1" applyFill="1" applyBorder="1" applyAlignment="1">
      <alignment horizontal="center"/>
    </xf>
    <xf numFmtId="0" fontId="0" fillId="5" borderId="8" xfId="0" applyFill="1" applyBorder="1"/>
    <xf numFmtId="44" fontId="0" fillId="5" borderId="2" xfId="0" applyNumberFormat="1" applyFill="1" applyBorder="1"/>
    <xf numFmtId="0" fontId="0" fillId="5" borderId="2" xfId="0" applyFill="1" applyBorder="1"/>
    <xf numFmtId="0" fontId="0" fillId="5" borderId="9" xfId="0" applyFill="1" applyBorder="1"/>
    <xf numFmtId="0" fontId="0" fillId="5" borderId="10" xfId="0" applyFill="1" applyBorder="1"/>
    <xf numFmtId="0" fontId="15" fillId="5" borderId="0" xfId="0" applyFont="1" applyFill="1" applyAlignment="1">
      <alignment horizontal="center" wrapText="1"/>
    </xf>
    <xf numFmtId="0" fontId="15" fillId="5" borderId="11" xfId="0" applyFont="1" applyFill="1" applyBorder="1" applyAlignment="1">
      <alignment horizontal="center" wrapText="1"/>
    </xf>
    <xf numFmtId="165" fontId="22" fillId="0" borderId="0" xfId="0" applyNumberFormat="1" applyFont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16" xfId="0" applyBorder="1"/>
    <xf numFmtId="44" fontId="0" fillId="0" borderId="7" xfId="0" applyNumberFormat="1" applyBorder="1"/>
    <xf numFmtId="44" fontId="0" fillId="0" borderId="17" xfId="0" applyNumberFormat="1" applyBorder="1"/>
    <xf numFmtId="0" fontId="20" fillId="0" borderId="0" xfId="0" applyFont="1"/>
    <xf numFmtId="44" fontId="0" fillId="5" borderId="18" xfId="0" applyNumberFormat="1" applyFill="1" applyBorder="1"/>
    <xf numFmtId="0" fontId="15" fillId="5" borderId="19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0" fillId="5" borderId="21" xfId="0" applyFill="1" applyBorder="1"/>
    <xf numFmtId="0" fontId="15" fillId="5" borderId="7" xfId="0" applyFont="1" applyFill="1" applyBorder="1" applyAlignment="1">
      <alignment horizontal="center" vertical="center" wrapText="1"/>
    </xf>
    <xf numFmtId="0" fontId="4" fillId="0" borderId="0" xfId="7" applyFont="1"/>
    <xf numFmtId="0" fontId="6" fillId="0" borderId="0" xfId="7" applyFont="1"/>
    <xf numFmtId="0" fontId="9" fillId="0" borderId="0" xfId="7" applyFont="1"/>
    <xf numFmtId="0" fontId="5" fillId="0" borderId="0" xfId="7"/>
    <xf numFmtId="0" fontId="15" fillId="0" borderId="0" xfId="7" applyFont="1"/>
    <xf numFmtId="172" fontId="5" fillId="0" borderId="0" xfId="7" applyNumberFormat="1"/>
    <xf numFmtId="0" fontId="19" fillId="0" borderId="0" xfId="7" applyFont="1"/>
    <xf numFmtId="10" fontId="5" fillId="0" borderId="0" xfId="7" applyNumberFormat="1"/>
    <xf numFmtId="0" fontId="35" fillId="0" borderId="0" xfId="7" applyFont="1"/>
    <xf numFmtId="172" fontId="0" fillId="0" borderId="0" xfId="3" applyNumberFormat="1" applyFont="1"/>
    <xf numFmtId="172" fontId="5" fillId="0" borderId="0" xfId="3" applyNumberFormat="1" applyFont="1" applyAlignment="1">
      <alignment horizontal="center"/>
    </xf>
    <xf numFmtId="0" fontId="5" fillId="0" borderId="0" xfId="7" applyAlignment="1">
      <alignment horizontal="center"/>
    </xf>
    <xf numFmtId="172" fontId="15" fillId="0" borderId="0" xfId="3" applyNumberFormat="1" applyFont="1" applyFill="1"/>
    <xf numFmtId="168" fontId="0" fillId="0" borderId="0" xfId="3" applyNumberFormat="1" applyFont="1" applyFill="1"/>
    <xf numFmtId="0" fontId="0" fillId="7" borderId="0" xfId="0" applyFill="1"/>
    <xf numFmtId="175" fontId="0" fillId="7" borderId="0" xfId="0" applyNumberFormat="1" applyFill="1"/>
    <xf numFmtId="164" fontId="0" fillId="7" borderId="0" xfId="0" applyNumberFormat="1" applyFill="1"/>
    <xf numFmtId="175" fontId="0" fillId="0" borderId="0" xfId="0" applyNumberFormat="1"/>
    <xf numFmtId="0" fontId="2" fillId="0" borderId="0" xfId="8"/>
    <xf numFmtId="0" fontId="14" fillId="0" borderId="0" xfId="5" applyAlignment="1" applyProtection="1"/>
    <xf numFmtId="14" fontId="2" fillId="0" borderId="0" xfId="8" applyNumberFormat="1"/>
    <xf numFmtId="176" fontId="2" fillId="0" borderId="0" xfId="8" applyNumberFormat="1"/>
    <xf numFmtId="168" fontId="2" fillId="0" borderId="0" xfId="8" applyNumberFormat="1"/>
    <xf numFmtId="10" fontId="2" fillId="0" borderId="0" xfId="3" applyNumberFormat="1" applyFont="1"/>
    <xf numFmtId="168" fontId="0" fillId="4" borderId="4" xfId="9" applyNumberFormat="1" applyFont="1" applyFill="1" applyBorder="1"/>
    <xf numFmtId="10" fontId="0" fillId="4" borderId="4" xfId="9" applyNumberFormat="1" applyFont="1" applyFill="1" applyBorder="1"/>
    <xf numFmtId="0" fontId="36" fillId="0" borderId="0" xfId="10"/>
    <xf numFmtId="172" fontId="2" fillId="0" borderId="0" xfId="8" applyNumberFormat="1"/>
    <xf numFmtId="2" fontId="2" fillId="0" borderId="0" xfId="8" applyNumberFormat="1"/>
    <xf numFmtId="172" fontId="0" fillId="4" borderId="4" xfId="3" applyNumberFormat="1" applyFont="1" applyFill="1" applyBorder="1"/>
    <xf numFmtId="0" fontId="2" fillId="0" borderId="22" xfId="8" applyBorder="1"/>
    <xf numFmtId="0" fontId="2" fillId="0" borderId="23" xfId="8" applyBorder="1"/>
    <xf numFmtId="166" fontId="0" fillId="0" borderId="24" xfId="9" applyNumberFormat="1" applyFont="1" applyBorder="1"/>
    <xf numFmtId="0" fontId="2" fillId="0" borderId="4" xfId="8" applyBorder="1" applyAlignment="1">
      <alignment horizontal="center"/>
    </xf>
    <xf numFmtId="0" fontId="2" fillId="0" borderId="4" xfId="8" applyBorder="1" applyAlignment="1">
      <alignment horizontal="center" wrapText="1"/>
    </xf>
    <xf numFmtId="166" fontId="0" fillId="0" borderId="4" xfId="9" applyNumberFormat="1" applyFont="1" applyBorder="1" applyAlignment="1">
      <alignment horizontal="center" wrapText="1"/>
    </xf>
    <xf numFmtId="177" fontId="2" fillId="0" borderId="4" xfId="8" applyNumberFormat="1" applyBorder="1" applyAlignment="1">
      <alignment horizontal="center"/>
    </xf>
    <xf numFmtId="166" fontId="0" fillId="0" borderId="4" xfId="9" applyNumberFormat="1" applyFont="1" applyFill="1" applyBorder="1" applyAlignment="1">
      <alignment horizontal="center"/>
    </xf>
    <xf numFmtId="166" fontId="0" fillId="10" borderId="4" xfId="9" applyNumberFormat="1" applyFont="1" applyFill="1" applyBorder="1" applyAlignment="1">
      <alignment horizontal="center"/>
    </xf>
    <xf numFmtId="166" fontId="0" fillId="11" borderId="4" xfId="9" applyNumberFormat="1" applyFont="1" applyFill="1" applyBorder="1" applyAlignment="1">
      <alignment horizontal="center"/>
    </xf>
    <xf numFmtId="166" fontId="0" fillId="11" borderId="24" xfId="9" applyNumberFormat="1" applyFont="1" applyFill="1" applyBorder="1" applyAlignment="1">
      <alignment horizontal="center"/>
    </xf>
    <xf numFmtId="166" fontId="0" fillId="0" borderId="0" xfId="9" applyNumberFormat="1" applyFont="1"/>
    <xf numFmtId="10" fontId="0" fillId="0" borderId="0" xfId="9" applyNumberFormat="1" applyFont="1"/>
    <xf numFmtId="10" fontId="2" fillId="0" borderId="0" xfId="8" applyNumberFormat="1"/>
    <xf numFmtId="10" fontId="0" fillId="0" borderId="4" xfId="9" applyNumberFormat="1" applyFont="1" applyFill="1" applyBorder="1"/>
    <xf numFmtId="166" fontId="0" fillId="0" borderId="4" xfId="9" applyNumberFormat="1" applyFont="1" applyBorder="1" applyAlignment="1">
      <alignment horizontal="center"/>
    </xf>
    <xf numFmtId="172" fontId="0" fillId="0" borderId="0" xfId="9" applyNumberFormat="1" applyFont="1"/>
    <xf numFmtId="172" fontId="0" fillId="4" borderId="4" xfId="9" applyNumberFormat="1" applyFont="1" applyFill="1" applyBorder="1"/>
    <xf numFmtId="1" fontId="4" fillId="0" borderId="0" xfId="1" applyNumberFormat="1" applyFont="1" applyAlignment="1">
      <alignment horizontal="left"/>
    </xf>
    <xf numFmtId="10" fontId="7" fillId="0" borderId="0" xfId="3" applyNumberFormat="1" applyFont="1" applyAlignment="1">
      <alignment horizontal="center"/>
    </xf>
    <xf numFmtId="10" fontId="12" fillId="0" borderId="0" xfId="3" applyNumberFormat="1" applyFont="1" applyAlignment="1">
      <alignment horizontal="center"/>
    </xf>
    <xf numFmtId="0" fontId="37" fillId="0" borderId="0" xfId="11" applyFont="1" applyAlignment="1">
      <alignment horizontal="center" vertical="center"/>
    </xf>
    <xf numFmtId="0" fontId="37" fillId="0" borderId="0" xfId="11" applyFont="1" applyAlignment="1">
      <alignment horizontal="left" vertical="center"/>
    </xf>
    <xf numFmtId="0" fontId="37" fillId="0" borderId="0" xfId="11" applyFont="1" applyAlignment="1">
      <alignment vertical="center"/>
    </xf>
    <xf numFmtId="0" fontId="10" fillId="0" borderId="0" xfId="0" applyFont="1" applyAlignment="1">
      <alignment vertical="center"/>
    </xf>
    <xf numFmtId="0" fontId="37" fillId="0" borderId="22" xfId="12" applyFont="1" applyBorder="1" applyAlignment="1">
      <alignment horizontal="center" vertical="center" wrapText="1"/>
    </xf>
    <xf numFmtId="0" fontId="37" fillId="0" borderId="4" xfId="12" applyFont="1" applyBorder="1" applyAlignment="1">
      <alignment horizontal="center" vertical="center" wrapText="1"/>
    </xf>
    <xf numFmtId="0" fontId="37" fillId="0" borderId="0" xfId="12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7" fillId="0" borderId="0" xfId="11" applyFont="1" applyAlignment="1">
      <alignment vertical="center" wrapText="1"/>
    </xf>
    <xf numFmtId="178" fontId="37" fillId="0" borderId="0" xfId="11" applyNumberFormat="1" applyFont="1" applyAlignment="1">
      <alignment vertical="center" wrapText="1"/>
    </xf>
    <xf numFmtId="179" fontId="10" fillId="0" borderId="0" xfId="0" applyNumberFormat="1" applyFont="1" applyAlignment="1">
      <alignment vertical="center" wrapText="1"/>
    </xf>
    <xf numFmtId="43" fontId="37" fillId="0" borderId="0" xfId="13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5" fontId="37" fillId="0" borderId="0" xfId="11" applyNumberFormat="1" applyFont="1" applyAlignment="1">
      <alignment horizontal="center" vertical="center" wrapText="1"/>
    </xf>
    <xf numFmtId="44" fontId="37" fillId="0" borderId="0" xfId="14" applyFont="1" applyFill="1" applyBorder="1" applyAlignment="1">
      <alignment vertical="center" wrapText="1"/>
    </xf>
    <xf numFmtId="180" fontId="37" fillId="7" borderId="4" xfId="12" applyNumberFormat="1" applyFont="1" applyFill="1" applyBorder="1" applyAlignment="1">
      <alignment horizontal="center" vertical="center"/>
    </xf>
    <xf numFmtId="1" fontId="37" fillId="7" borderId="4" xfId="12" applyNumberFormat="1" applyFont="1" applyFill="1" applyBorder="1" applyAlignment="1">
      <alignment horizontal="center" vertical="center"/>
    </xf>
    <xf numFmtId="3" fontId="37" fillId="7" borderId="4" xfId="12" applyNumberFormat="1" applyFont="1" applyFill="1" applyBorder="1" applyAlignment="1">
      <alignment horizontal="center" vertical="center"/>
    </xf>
    <xf numFmtId="3" fontId="37" fillId="0" borderId="0" xfId="15" applyNumberFormat="1" applyFont="1" applyBorder="1" applyAlignment="1">
      <alignment horizontal="center" vertical="center"/>
    </xf>
    <xf numFmtId="178" fontId="37" fillId="0" borderId="0" xfId="11" applyNumberFormat="1" applyFont="1" applyAlignment="1">
      <alignment vertical="center"/>
    </xf>
    <xf numFmtId="179" fontId="10" fillId="0" borderId="0" xfId="0" applyNumberFormat="1" applyFont="1" applyAlignment="1">
      <alignment vertical="center"/>
    </xf>
    <xf numFmtId="43" fontId="37" fillId="0" borderId="0" xfId="13" applyFont="1" applyFill="1" applyBorder="1" applyAlignment="1">
      <alignment vertical="center"/>
    </xf>
    <xf numFmtId="165" fontId="37" fillId="0" borderId="0" xfId="11" applyNumberFormat="1" applyFont="1" applyAlignment="1">
      <alignment horizontal="center" vertical="center"/>
    </xf>
    <xf numFmtId="44" fontId="37" fillId="0" borderId="0" xfId="14" applyFont="1" applyFill="1" applyBorder="1" applyAlignment="1">
      <alignment vertical="center"/>
    </xf>
    <xf numFmtId="180" fontId="37" fillId="0" borderId="4" xfId="12" applyNumberFormat="1" applyFont="1" applyBorder="1" applyAlignment="1">
      <alignment horizontal="center" vertical="center"/>
    </xf>
    <xf numFmtId="1" fontId="37" fillId="0" borderId="4" xfId="12" applyNumberFormat="1" applyFont="1" applyBorder="1" applyAlignment="1">
      <alignment horizontal="center" vertical="center"/>
    </xf>
    <xf numFmtId="3" fontId="37" fillId="0" borderId="4" xfId="12" applyNumberFormat="1" applyFont="1" applyBorder="1" applyAlignment="1">
      <alignment horizontal="center" vertical="center"/>
    </xf>
    <xf numFmtId="3" fontId="37" fillId="0" borderId="25" xfId="12" applyNumberFormat="1" applyFont="1" applyBorder="1" applyAlignment="1">
      <alignment horizontal="center" vertical="center"/>
    </xf>
    <xf numFmtId="180" fontId="37" fillId="0" borderId="26" xfId="12" applyNumberFormat="1" applyFont="1" applyBorder="1" applyAlignment="1">
      <alignment horizontal="center" vertical="center"/>
    </xf>
    <xf numFmtId="1" fontId="37" fillId="0" borderId="26" xfId="12" applyNumberFormat="1" applyFont="1" applyBorder="1" applyAlignment="1">
      <alignment horizontal="center" vertical="center"/>
    </xf>
    <xf numFmtId="3" fontId="37" fillId="0" borderId="27" xfId="12" applyNumberFormat="1" applyFont="1" applyBorder="1" applyAlignment="1">
      <alignment horizontal="center" vertical="center"/>
    </xf>
    <xf numFmtId="3" fontId="37" fillId="0" borderId="26" xfId="12" applyNumberFormat="1" applyFont="1" applyBorder="1" applyAlignment="1">
      <alignment horizontal="center" vertical="center"/>
    </xf>
    <xf numFmtId="171" fontId="38" fillId="0" borderId="0" xfId="13" applyNumberFormat="1" applyFont="1" applyFill="1" applyBorder="1" applyAlignment="1">
      <alignment horizontal="center" vertical="center"/>
    </xf>
    <xf numFmtId="37" fontId="39" fillId="0" borderId="0" xfId="1" applyNumberFormat="1" applyFont="1" applyFill="1" applyBorder="1" applyAlignment="1">
      <alignment horizontal="center" vertical="center"/>
    </xf>
    <xf numFmtId="170" fontId="37" fillId="0" borderId="0" xfId="11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8" fillId="0" borderId="0" xfId="11" applyFont="1" applyAlignment="1">
      <alignment horizontal="center" vertical="center"/>
    </xf>
    <xf numFmtId="170" fontId="38" fillId="0" borderId="0" xfId="11" applyNumberFormat="1" applyFont="1" applyAlignment="1">
      <alignment horizontal="center" vertical="center"/>
    </xf>
    <xf numFmtId="165" fontId="9" fillId="0" borderId="5" xfId="0" applyNumberFormat="1" applyFont="1" applyBorder="1" applyAlignment="1">
      <alignment vertical="center"/>
    </xf>
    <xf numFmtId="0" fontId="40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vertical="center"/>
    </xf>
    <xf numFmtId="43" fontId="38" fillId="0" borderId="5" xfId="11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43" fontId="10" fillId="0" borderId="0" xfId="0" applyNumberFormat="1" applyFont="1" applyAlignment="1">
      <alignment vertical="center"/>
    </xf>
    <xf numFmtId="0" fontId="41" fillId="0" borderId="0" xfId="0" applyFont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180" fontId="42" fillId="0" borderId="0" xfId="0" applyNumberFormat="1" applyFont="1" applyAlignment="1">
      <alignment horizontal="center" vertical="center"/>
    </xf>
    <xf numFmtId="0" fontId="41" fillId="0" borderId="0" xfId="0" applyFont="1" applyAlignment="1">
      <alignment vertical="center"/>
    </xf>
    <xf numFmtId="2" fontId="42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43" fontId="38" fillId="0" borderId="0" xfId="11" applyNumberFormat="1" applyFont="1" applyAlignment="1">
      <alignment horizontal="center" vertical="center"/>
    </xf>
    <xf numFmtId="0" fontId="43" fillId="0" borderId="0" xfId="11" applyFont="1" applyAlignment="1">
      <alignment horizontal="center" vertical="center"/>
    </xf>
    <xf numFmtId="3" fontId="42" fillId="0" borderId="0" xfId="0" applyNumberFormat="1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43" fontId="43" fillId="0" borderId="0" xfId="11" applyNumberFormat="1" applyFont="1" applyAlignment="1">
      <alignment horizontal="center" vertical="center"/>
    </xf>
    <xf numFmtId="0" fontId="43" fillId="0" borderId="0" xfId="11" applyFont="1" applyAlignment="1">
      <alignment vertical="center"/>
    </xf>
    <xf numFmtId="178" fontId="44" fillId="0" borderId="0" xfId="11" applyNumberFormat="1" applyFont="1" applyAlignment="1">
      <alignment vertical="center"/>
    </xf>
    <xf numFmtId="43" fontId="44" fillId="0" borderId="0" xfId="13" applyFont="1" applyFill="1" applyBorder="1" applyAlignment="1">
      <alignment vertical="center"/>
    </xf>
    <xf numFmtId="3" fontId="42" fillId="0" borderId="5" xfId="0" applyNumberFormat="1" applyFont="1" applyBorder="1" applyAlignment="1">
      <alignment horizontal="center" vertical="center"/>
    </xf>
    <xf numFmtId="166" fontId="42" fillId="0" borderId="0" xfId="3" applyNumberFormat="1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3" fontId="39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10" fontId="39" fillId="0" borderId="0" xfId="3" applyNumberFormat="1" applyFont="1" applyBorder="1" applyAlignment="1">
      <alignment horizontal="center" vertical="center"/>
    </xf>
    <xf numFmtId="10" fontId="42" fillId="0" borderId="0" xfId="3" applyNumberFormat="1" applyFont="1" applyBorder="1" applyAlignment="1">
      <alignment horizontal="center" vertical="center"/>
    </xf>
    <xf numFmtId="1" fontId="42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164" fontId="41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80" fontId="37" fillId="0" borderId="0" xfId="12" applyNumberFormat="1" applyFont="1" applyAlignment="1">
      <alignment horizontal="center" vertical="center"/>
    </xf>
    <xf numFmtId="9" fontId="42" fillId="0" borderId="0" xfId="3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43" fontId="38" fillId="0" borderId="0" xfId="13" applyFont="1" applyFill="1" applyBorder="1" applyAlignment="1">
      <alignment horizontal="left" vertical="center"/>
    </xf>
    <xf numFmtId="168" fontId="42" fillId="0" borderId="0" xfId="3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0" fontId="39" fillId="0" borderId="0" xfId="3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41" fillId="0" borderId="0" xfId="0" applyFont="1"/>
    <xf numFmtId="17" fontId="5" fillId="0" borderId="0" xfId="0" applyNumberFormat="1" applyFont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5" fontId="17" fillId="9" borderId="0" xfId="0" applyNumberFormat="1" applyFont="1" applyFill="1"/>
    <xf numFmtId="165" fontId="22" fillId="9" borderId="0" xfId="0" applyNumberFormat="1" applyFont="1" applyFill="1"/>
    <xf numFmtId="0" fontId="47" fillId="0" borderId="0" xfId="8" applyFont="1"/>
    <xf numFmtId="0" fontId="47" fillId="0" borderId="22" xfId="8" applyFont="1" applyBorder="1"/>
    <xf numFmtId="0" fontId="1" fillId="0" borderId="0" xfId="8" applyFont="1"/>
    <xf numFmtId="166" fontId="0" fillId="0" borderId="24" xfId="9" applyNumberFormat="1" applyFont="1" applyBorder="1" applyAlignment="1">
      <alignment horizontal="center" wrapText="1"/>
    </xf>
    <xf numFmtId="166" fontId="0" fillId="12" borderId="4" xfId="9" applyNumberFormat="1" applyFont="1" applyFill="1" applyBorder="1" applyAlignment="1">
      <alignment horizontal="center"/>
    </xf>
    <xf numFmtId="177" fontId="1" fillId="0" borderId="24" xfId="8" applyNumberFormat="1" applyFont="1" applyBorder="1" applyAlignment="1">
      <alignment horizontal="center"/>
    </xf>
    <xf numFmtId="0" fontId="48" fillId="0" borderId="0" xfId="8" applyFont="1"/>
    <xf numFmtId="177" fontId="28" fillId="0" borderId="24" xfId="8" applyNumberFormat="1" applyFont="1" applyBorder="1" applyAlignment="1">
      <alignment horizontal="center"/>
    </xf>
    <xf numFmtId="0" fontId="1" fillId="0" borderId="4" xfId="8" applyFont="1" applyBorder="1" applyAlignment="1">
      <alignment horizontal="center"/>
    </xf>
    <xf numFmtId="10" fontId="0" fillId="0" borderId="0" xfId="9" applyNumberFormat="1" applyFont="1" applyAlignment="1">
      <alignment horizontal="center"/>
    </xf>
    <xf numFmtId="10" fontId="0" fillId="0" borderId="4" xfId="9" applyNumberFormat="1" applyFont="1" applyFill="1" applyBorder="1" applyAlignment="1">
      <alignment horizontal="center"/>
    </xf>
    <xf numFmtId="10" fontId="15" fillId="0" borderId="4" xfId="9" applyNumberFormat="1" applyFont="1" applyFill="1" applyBorder="1" applyAlignment="1">
      <alignment horizontal="center"/>
    </xf>
    <xf numFmtId="0" fontId="2" fillId="0" borderId="0" xfId="8" applyAlignment="1">
      <alignment wrapText="1"/>
    </xf>
    <xf numFmtId="0" fontId="2" fillId="0" borderId="0" xfId="8" applyAlignment="1">
      <alignment horizontal="left"/>
    </xf>
    <xf numFmtId="0" fontId="19" fillId="0" borderId="0" xfId="7" applyFont="1" applyAlignment="1">
      <alignment wrapText="1"/>
    </xf>
    <xf numFmtId="0" fontId="19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21" fillId="0" borderId="0" xfId="0" applyFont="1"/>
    <xf numFmtId="0" fontId="26" fillId="0" borderId="0" xfId="0" applyFont="1"/>
    <xf numFmtId="0" fontId="4" fillId="0" borderId="0" xfId="0" applyFont="1"/>
    <xf numFmtId="0" fontId="2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16">
    <cellStyle name="Accent1" xfId="4" builtinId="29"/>
    <cellStyle name="Comma" xfId="1" builtinId="3"/>
    <cellStyle name="Comma 11" xfId="15" xr:uid="{3E027D1E-E5C9-439E-A018-88512CFF2B13}"/>
    <cellStyle name="Comma 4" xfId="13" xr:uid="{9B36CFA5-ADA5-47D6-8D60-C79CA33CB3B1}"/>
    <cellStyle name="Currency" xfId="2" builtinId="4"/>
    <cellStyle name="Currency 2 2 2" xfId="6" xr:uid="{80E95A89-B33B-4EC4-BC24-557CC7C16433}"/>
    <cellStyle name="Currency 7" xfId="14" xr:uid="{DAFB82E9-29ED-4928-BDFA-38FB0B95D260}"/>
    <cellStyle name="Hyperlink" xfId="5" builtinId="8"/>
    <cellStyle name="Hyperlink 2" xfId="10" xr:uid="{FFA13C2D-5469-4EC4-B7B2-622631B25E18}"/>
    <cellStyle name="Normal" xfId="0" builtinId="0"/>
    <cellStyle name="Normal 2" xfId="7" xr:uid="{B01554CE-A586-4DF9-AB52-1981E669B4C4}"/>
    <cellStyle name="Normal 24" xfId="12" xr:uid="{C0C1C745-8C1F-4C3D-BA15-5FE7F279C7E5}"/>
    <cellStyle name="Normal 6" xfId="11" xr:uid="{DED7C127-4AC5-4190-A538-34CC01AD5DF5}"/>
    <cellStyle name="Normal 8 2" xfId="8" xr:uid="{927EABE7-A578-4DB8-A8C4-A152BE649CE8}"/>
    <cellStyle name="Percent" xfId="3" builtinId="5"/>
    <cellStyle name="Percent 10 2" xfId="9" xr:uid="{A6F34694-525F-4DF1-9B46-0E004F203F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78442</xdr:colOff>
      <xdr:row>55</xdr:row>
      <xdr:rowOff>134472</xdr:rowOff>
    </xdr:from>
    <xdr:ext cx="11182091" cy="8159456"/>
    <xdr:pic>
      <xdr:nvPicPr>
        <xdr:cNvPr id="2" name="Picture 1">
          <a:extLst>
            <a:ext uri="{FF2B5EF4-FFF2-40B4-BE49-F238E27FC236}">
              <a16:creationId xmlns:a16="http://schemas.microsoft.com/office/drawing/2014/main" id="{CDB4029B-18C4-431D-BE47-952F66BEA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7042" y="11183472"/>
          <a:ext cx="11182091" cy="8159456"/>
        </a:xfrm>
        <a:prstGeom prst="rect">
          <a:avLst/>
        </a:prstGeom>
      </xdr:spPr>
    </xdr:pic>
    <xdr:clientData/>
  </xdr:oneCellAnchor>
  <xdr:oneCellAnchor>
    <xdr:from>
      <xdr:col>11</xdr:col>
      <xdr:colOff>280147</xdr:colOff>
      <xdr:row>100</xdr:row>
      <xdr:rowOff>179295</xdr:rowOff>
    </xdr:from>
    <xdr:ext cx="11191615" cy="7953668"/>
    <xdr:pic>
      <xdr:nvPicPr>
        <xdr:cNvPr id="3" name="Picture 2">
          <a:extLst>
            <a:ext uri="{FF2B5EF4-FFF2-40B4-BE49-F238E27FC236}">
              <a16:creationId xmlns:a16="http://schemas.microsoft.com/office/drawing/2014/main" id="{644F6140-C75F-4F43-AB2E-64324689D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28747" y="19800795"/>
          <a:ext cx="11191615" cy="7953668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sh DeYoung" id="{422C1A9F-ED97-4CB9-8D54-813CDE38EE52}" userId="joshd@halifaxwater.ca" providerId="PeoplePicker"/>
  <person displayName="Heather Miller" id="{E68A2242-5B46-43D8-AFDA-F85E8DAC786C}" userId="heatherm@halifaxwater.ca" providerId="PeoplePicker"/>
  <person displayName="Louis de Montbrun" id="{F2B7E9BF-A412-4915-877E-2CAFDAA7ACC6}" userId="louis.demontbrun@halifaxwater.ca" providerId="PeoplePicker"/>
  <person displayName="Kenda MacKenzie" id="{3AC99AFD-FF1F-4FE7-91A8-328D659E8BC5}" userId="S::mackenk@halifaxwater.ca::e29f9962-81c3-453f-8ecf-48781949dba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6" dT="2025-07-25T01:37:16.75" personId="{3AC99AFD-FF1F-4FE7-91A8-328D659E8BC5}" id="{21F3B83B-FE60-4E3E-88C2-EEBAA15C6FF5}">
    <text>@Heather Miller @Josh DeYoung @Louis de Montbrun 
Heather - any info on the costs and BTE? For cells 26-30</text>
    <mentions>
      <mention mentionpersonId="{E68A2242-5B46-43D8-AFDA-F85E8DAC786C}" mentionId="{F4465F90-7123-4D1D-9BF2-FFB227A7941C}" startIndex="0" length="15"/>
      <mention mentionpersonId="{422C1A9F-ED97-4CB9-8D54-813CDE38EE52}" mentionId="{14474E59-CA6F-4284-9ABD-D44EA4250838}" startIndex="16" length="13"/>
      <mention mentionpersonId="{F2B7E9BF-A412-4915-877E-2CAFDAA7ACC6}" mentionId="{DA1961B4-3ED4-4908-A0DB-0EB4CB7C64FB}" startIndex="30" length="18"/>
    </mentions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nkofcanada.ca/rates/interest-rates/corr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ankofcanada.ca/rates/interest-rates/lookup-bond-yields/?lookupPage=lookup_bond_yields.php&amp;startRange=2012-03-21&amp;rangeType=dates&amp;dFrom=2013-01-01&amp;dTo=2021-12-31&amp;rangeValue=1&amp;rangeWeeklyValue=1&amp;rangeMonthlyValue=1&amp;series%5B%5D=LOOKUPS_V122543&amp;series%5B%5D=LOOKUPS_V122553&amp;submit_button=Submi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150.statcan.gc.ca/t1/tbl1/en/tv.action?pid=1810028901&amp;pickMembers%5B0%5D=2.7&amp;pickMembers%5B1%5D=3.1&amp;cubeTimeFrame.startMonth=10&amp;cubeTimeFrame.startYear=2001&amp;cubeTimeFrame.endMonth=10&amp;cubeTimeFrame.endYear=2025&amp;referencePeriods=20011001%2C20251001" TargetMode="External"/><Relationship Id="rId1" Type="http://schemas.openxmlformats.org/officeDocument/2006/relationships/hyperlink" Target="https://www150.statcan.gc.ca/t1/tbl1/en/tv.action?pid=1810013501&amp;pickMembers%5B0%5D=2.8&amp;cubeTimeFrame.startMonth=10&amp;cubeTimeFrame.startYear=2002&amp;cubeTimeFrame.endMonth=10&amp;cubeTimeFrame.endYear=2021&amp;referencePeriods=20021001%2C202110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150.statcan.gc.ca/t1/tbl1/en/tv.action?pid=1810000501&amp;pickMembers%5B0%5D=1.8&amp;cubeTimeFrame.startYear=2017&amp;cubeTimeFrame.endYear=2021&amp;referencePeriods=20170101%2C2021010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43698-5D49-4BB4-BF0D-304187417557}">
  <sheetPr>
    <tabColor rgb="FFFFC000"/>
    <pageSetUpPr fitToPage="1"/>
  </sheetPr>
  <dimension ref="B3:P136"/>
  <sheetViews>
    <sheetView workbookViewId="0">
      <selection activeCell="N13" sqref="N13"/>
    </sheetView>
  </sheetViews>
  <sheetFormatPr defaultColWidth="8.85546875" defaultRowHeight="15" x14ac:dyDescent="0.25"/>
  <cols>
    <col min="1" max="1" width="8.85546875" style="317"/>
    <col min="2" max="2" width="12" style="317" customWidth="1"/>
    <col min="3" max="3" width="10.5703125" style="317" customWidth="1"/>
    <col min="4" max="8" width="8.85546875" style="317"/>
    <col min="9" max="9" width="9.85546875" style="317" customWidth="1"/>
    <col min="10" max="10" width="8.85546875" style="317"/>
    <col min="11" max="11" width="11" style="317" customWidth="1"/>
    <col min="12" max="12" width="12.140625" style="317" bestFit="1" customWidth="1"/>
    <col min="13" max="16384" width="8.85546875" style="317"/>
  </cols>
  <sheetData>
    <row r="3" spans="2:12" x14ac:dyDescent="0.25">
      <c r="B3" s="436" t="s">
        <v>0</v>
      </c>
    </row>
    <row r="6" spans="2:12" x14ac:dyDescent="0.25">
      <c r="B6" s="317" t="s">
        <v>1</v>
      </c>
      <c r="C6" s="317" t="s">
        <v>2</v>
      </c>
      <c r="F6" s="318"/>
    </row>
    <row r="7" spans="2:12" x14ac:dyDescent="0.25">
      <c r="B7" s="317" t="s">
        <v>3</v>
      </c>
      <c r="C7" s="319">
        <v>44531</v>
      </c>
      <c r="D7" s="320">
        <v>0.10238</v>
      </c>
      <c r="F7" s="318" t="s">
        <v>4</v>
      </c>
    </row>
    <row r="8" spans="2:12" x14ac:dyDescent="0.25">
      <c r="B8" s="317" t="s">
        <v>5</v>
      </c>
      <c r="C8" s="319">
        <v>45261</v>
      </c>
      <c r="D8" s="320">
        <f>L47</f>
        <v>5.0347368000000001</v>
      </c>
    </row>
    <row r="9" spans="2:12" x14ac:dyDescent="0.25">
      <c r="B9" s="317" t="s">
        <v>6</v>
      </c>
      <c r="D9" s="321">
        <f>L50</f>
        <v>1.3367996104000001E-2</v>
      </c>
    </row>
    <row r="11" spans="2:12" x14ac:dyDescent="0.25">
      <c r="B11" s="317" t="s">
        <v>2</v>
      </c>
      <c r="C11" s="317" t="s">
        <v>7</v>
      </c>
      <c r="E11" s="317" t="s">
        <v>2</v>
      </c>
      <c r="F11" s="317" t="s">
        <v>7</v>
      </c>
      <c r="H11" s="317" t="s">
        <v>2</v>
      </c>
      <c r="I11" s="317" t="s">
        <v>7</v>
      </c>
      <c r="K11" s="317" t="s">
        <v>2</v>
      </c>
      <c r="L11" s="317" t="s">
        <v>7</v>
      </c>
    </row>
    <row r="12" spans="2:12" x14ac:dyDescent="0.25">
      <c r="B12" s="317" t="s">
        <v>8</v>
      </c>
      <c r="C12" s="320">
        <v>0.99944285700000002</v>
      </c>
      <c r="E12" s="317" t="s">
        <v>9</v>
      </c>
      <c r="F12" s="320">
        <v>0.91159523799999997</v>
      </c>
      <c r="H12" s="317" t="s">
        <v>10</v>
      </c>
      <c r="I12" s="320">
        <v>1.1099818180000001</v>
      </c>
      <c r="K12" s="317" t="s">
        <v>11</v>
      </c>
      <c r="L12" s="320">
        <v>0.18099999999999999</v>
      </c>
    </row>
    <row r="13" spans="2:12" x14ac:dyDescent="0.25">
      <c r="B13" s="317" t="s">
        <v>12</v>
      </c>
      <c r="C13" s="320">
        <v>0.99655000000000005</v>
      </c>
      <c r="E13" s="317" t="s">
        <v>13</v>
      </c>
      <c r="F13" s="320">
        <v>0.78305263199999997</v>
      </c>
      <c r="H13" s="317" t="s">
        <v>14</v>
      </c>
      <c r="I13" s="320">
        <v>1.2259368420000001</v>
      </c>
      <c r="K13" s="317" t="s">
        <v>15</v>
      </c>
      <c r="L13" s="320">
        <v>0.19578947399999999</v>
      </c>
    </row>
    <row r="14" spans="2:12" x14ac:dyDescent="0.25">
      <c r="B14" s="317" t="s">
        <v>16</v>
      </c>
      <c r="C14" s="320">
        <v>1.0041272729999999</v>
      </c>
      <c r="E14" s="317" t="s">
        <v>17</v>
      </c>
      <c r="F14" s="320">
        <v>0.75869545500000002</v>
      </c>
      <c r="H14" s="317" t="s">
        <v>18</v>
      </c>
      <c r="I14" s="320">
        <v>1.233242857</v>
      </c>
      <c r="K14" s="317" t="s">
        <v>19</v>
      </c>
      <c r="L14" s="320">
        <v>0.16130434799999999</v>
      </c>
    </row>
    <row r="15" spans="2:12" x14ac:dyDescent="0.25">
      <c r="B15" s="317" t="s">
        <v>20</v>
      </c>
      <c r="C15" s="320">
        <v>1.0221199999999999</v>
      </c>
      <c r="E15" s="317" t="s">
        <v>21</v>
      </c>
      <c r="F15" s="320">
        <v>0.74905714300000004</v>
      </c>
      <c r="H15" s="317" t="s">
        <v>22</v>
      </c>
      <c r="I15" s="320">
        <v>1.25632381</v>
      </c>
      <c r="K15" s="317" t="s">
        <v>23</v>
      </c>
      <c r="L15" s="320">
        <v>0.16047618999999999</v>
      </c>
    </row>
    <row r="16" spans="2:12" x14ac:dyDescent="0.25">
      <c r="B16" s="317" t="s">
        <v>24</v>
      </c>
      <c r="C16" s="320">
        <v>1.0059136360000001</v>
      </c>
      <c r="E16" s="317" t="s">
        <v>25</v>
      </c>
      <c r="F16" s="320">
        <v>0.72140499999999996</v>
      </c>
      <c r="H16" s="317" t="s">
        <v>26</v>
      </c>
      <c r="I16" s="320">
        <v>1.246436364</v>
      </c>
      <c r="K16" s="317" t="s">
        <v>27</v>
      </c>
      <c r="L16" s="320">
        <v>0.185</v>
      </c>
    </row>
    <row r="17" spans="2:12" x14ac:dyDescent="0.25">
      <c r="B17" s="317" t="s">
        <v>28</v>
      </c>
      <c r="C17" s="320">
        <v>1.0060952379999999</v>
      </c>
      <c r="E17" s="317" t="s">
        <v>29</v>
      </c>
      <c r="F17" s="320">
        <v>0.74670909100000005</v>
      </c>
      <c r="H17" s="317" t="s">
        <v>30</v>
      </c>
      <c r="I17" s="320">
        <v>1.263047619</v>
      </c>
      <c r="K17" s="317" t="s">
        <v>31</v>
      </c>
      <c r="L17" s="320">
        <v>0.17681818199999999</v>
      </c>
    </row>
    <row r="18" spans="2:12" x14ac:dyDescent="0.25">
      <c r="B18" s="317" t="s">
        <v>32</v>
      </c>
      <c r="C18" s="320">
        <v>0.99717619000000002</v>
      </c>
      <c r="E18" s="317" t="s">
        <v>33</v>
      </c>
      <c r="F18" s="320">
        <v>0.62262727299999998</v>
      </c>
      <c r="H18" s="317" t="s">
        <v>34</v>
      </c>
      <c r="I18" s="320">
        <v>1.4242333330000001</v>
      </c>
      <c r="K18" s="317" t="s">
        <v>35</v>
      </c>
      <c r="L18" s="320">
        <v>0.18571428600000001</v>
      </c>
    </row>
    <row r="19" spans="2:12" x14ac:dyDescent="0.25">
      <c r="B19" s="317" t="s">
        <v>36</v>
      </c>
      <c r="C19" s="320">
        <v>1.014340909</v>
      </c>
      <c r="E19" s="317" t="s">
        <v>37</v>
      </c>
      <c r="F19" s="320">
        <v>0.52915500000000004</v>
      </c>
      <c r="H19" s="317" t="s">
        <v>38</v>
      </c>
      <c r="I19" s="320">
        <v>1.479781818</v>
      </c>
      <c r="K19" s="317" t="s">
        <v>39</v>
      </c>
      <c r="L19" s="320">
        <v>0.197142857</v>
      </c>
    </row>
    <row r="20" spans="2:12" x14ac:dyDescent="0.25">
      <c r="B20" s="317" t="s">
        <v>40</v>
      </c>
      <c r="C20" s="320">
        <v>1.0004157890000001</v>
      </c>
      <c r="E20" s="317" t="s">
        <v>41</v>
      </c>
      <c r="F20" s="320">
        <v>0.49950476199999999</v>
      </c>
      <c r="H20" s="317" t="s">
        <v>42</v>
      </c>
      <c r="I20" s="320">
        <v>1.4974368419999999</v>
      </c>
      <c r="K20" s="317" t="s">
        <v>43</v>
      </c>
      <c r="L20" s="320">
        <v>0.17699999999999999</v>
      </c>
    </row>
    <row r="21" spans="2:12" x14ac:dyDescent="0.25">
      <c r="B21" s="317" t="s">
        <v>44</v>
      </c>
      <c r="C21" s="320">
        <v>1.0108409089999999</v>
      </c>
      <c r="E21" s="317" t="s">
        <v>45</v>
      </c>
      <c r="F21" s="320">
        <v>0.50600952399999999</v>
      </c>
      <c r="H21" s="317" t="s">
        <v>46</v>
      </c>
      <c r="I21" s="320">
        <v>1.575395455</v>
      </c>
      <c r="K21" s="317" t="s">
        <v>47</v>
      </c>
      <c r="L21" s="320">
        <v>0.1855</v>
      </c>
    </row>
    <row r="22" spans="2:12" x14ac:dyDescent="0.25">
      <c r="B22" s="317" t="s">
        <v>48</v>
      </c>
      <c r="C22" s="320">
        <v>1.0077142859999999</v>
      </c>
      <c r="E22" s="317" t="s">
        <v>49</v>
      </c>
      <c r="F22" s="320">
        <v>0.49793999999999999</v>
      </c>
      <c r="H22" s="317" t="s">
        <v>50</v>
      </c>
      <c r="I22" s="320">
        <v>1.7521952380000001</v>
      </c>
      <c r="K22" s="317" t="s">
        <v>51</v>
      </c>
      <c r="L22" s="320">
        <v>0.17428571400000001</v>
      </c>
    </row>
    <row r="23" spans="2:12" x14ac:dyDescent="0.25">
      <c r="B23" s="317" t="s">
        <v>52</v>
      </c>
      <c r="C23" s="320">
        <v>1.0068999999999999</v>
      </c>
      <c r="E23" s="317" t="s">
        <v>53</v>
      </c>
      <c r="F23" s="320">
        <v>0.53098095199999995</v>
      </c>
      <c r="H23" s="317" t="s">
        <v>54</v>
      </c>
      <c r="I23" s="320">
        <v>1.7780315790000001</v>
      </c>
      <c r="K23" s="317" t="s">
        <v>55</v>
      </c>
      <c r="L23" s="320">
        <v>0.102380952</v>
      </c>
    </row>
    <row r="24" spans="2:12" x14ac:dyDescent="0.25">
      <c r="B24" s="317" t="s">
        <v>56</v>
      </c>
      <c r="C24" s="320">
        <v>1.0140318180000001</v>
      </c>
      <c r="E24" s="317" t="s">
        <v>57</v>
      </c>
      <c r="F24" s="320">
        <v>0.52946000000000004</v>
      </c>
      <c r="H24" s="317" t="s">
        <v>58</v>
      </c>
      <c r="I24" s="320">
        <v>1.749945455</v>
      </c>
      <c r="K24" s="317" t="s">
        <v>59</v>
      </c>
      <c r="L24" s="320">
        <v>0.16200000000000001</v>
      </c>
    </row>
    <row r="25" spans="2:12" x14ac:dyDescent="0.25">
      <c r="B25" s="317" t="s">
        <v>60</v>
      </c>
      <c r="C25" s="320">
        <v>1.0159263160000001</v>
      </c>
      <c r="E25" s="317" t="s">
        <v>61</v>
      </c>
      <c r="F25" s="320">
        <v>0.51014499999999996</v>
      </c>
      <c r="H25" s="317" t="s">
        <v>62</v>
      </c>
      <c r="I25" s="320">
        <v>1.739036842</v>
      </c>
      <c r="K25" s="317" t="s">
        <v>63</v>
      </c>
      <c r="L25" s="320">
        <v>0.1726</v>
      </c>
    </row>
    <row r="26" spans="2:12" x14ac:dyDescent="0.25">
      <c r="B26" s="317" t="s">
        <v>64</v>
      </c>
      <c r="C26" s="320">
        <v>1.01779</v>
      </c>
      <c r="E26" s="317" t="s">
        <v>65</v>
      </c>
      <c r="F26" s="320">
        <v>0.50608636399999996</v>
      </c>
      <c r="H26" s="317" t="s">
        <v>66</v>
      </c>
      <c r="I26" s="320">
        <v>1.73887619</v>
      </c>
      <c r="K26" s="317" t="s">
        <v>67</v>
      </c>
      <c r="L26" s="320">
        <v>0.41039999999999999</v>
      </c>
    </row>
    <row r="27" spans="2:12" x14ac:dyDescent="0.25">
      <c r="B27" s="317" t="s">
        <v>68</v>
      </c>
      <c r="C27" s="320">
        <v>1.016904545</v>
      </c>
      <c r="E27" s="317" t="s">
        <v>69</v>
      </c>
      <c r="F27" s="320">
        <v>0.51784761899999998</v>
      </c>
      <c r="H27" s="317" t="s">
        <v>70</v>
      </c>
      <c r="I27" s="320">
        <v>1.75092381</v>
      </c>
      <c r="K27" s="317" t="s">
        <v>71</v>
      </c>
      <c r="L27" s="320">
        <v>0.70899999999999996</v>
      </c>
    </row>
    <row r="28" spans="2:12" x14ac:dyDescent="0.25">
      <c r="B28" s="317" t="s">
        <v>72</v>
      </c>
      <c r="C28" s="320">
        <v>1.0158772730000001</v>
      </c>
      <c r="E28" s="317" t="s">
        <v>73</v>
      </c>
      <c r="F28" s="320">
        <v>0.51171428600000002</v>
      </c>
      <c r="H28" s="317" t="s">
        <v>74</v>
      </c>
      <c r="I28" s="320">
        <v>1.746618182</v>
      </c>
      <c r="K28" s="317" t="s">
        <v>75</v>
      </c>
      <c r="L28" s="320">
        <v>0.95620000000000005</v>
      </c>
    </row>
    <row r="29" spans="2:12" x14ac:dyDescent="0.25">
      <c r="B29" s="317" t="s">
        <v>76</v>
      </c>
      <c r="C29" s="320">
        <v>1.0222500000000001</v>
      </c>
      <c r="E29" s="317" t="s">
        <v>77</v>
      </c>
      <c r="F29" s="320">
        <v>0.52242272700000003</v>
      </c>
      <c r="H29" s="317" t="s">
        <v>78</v>
      </c>
      <c r="I29" s="320">
        <v>1.72278</v>
      </c>
      <c r="K29" s="317" t="s">
        <v>79</v>
      </c>
      <c r="L29" s="320">
        <v>1.4373</v>
      </c>
    </row>
    <row r="30" spans="2:12" x14ac:dyDescent="0.25">
      <c r="B30" s="317" t="s">
        <v>80</v>
      </c>
      <c r="C30" s="320">
        <v>1.0109590909999999</v>
      </c>
      <c r="E30" s="317" t="s">
        <v>81</v>
      </c>
      <c r="F30" s="320">
        <v>0.53632500000000005</v>
      </c>
      <c r="H30" s="317" t="s">
        <v>82</v>
      </c>
      <c r="I30" s="320">
        <v>1.7496590910000001</v>
      </c>
      <c r="K30" s="317" t="s">
        <v>83</v>
      </c>
      <c r="L30" s="320">
        <v>2.0659999999999998</v>
      </c>
    </row>
    <row r="31" spans="2:12" x14ac:dyDescent="0.25">
      <c r="B31" s="317" t="s">
        <v>84</v>
      </c>
      <c r="C31" s="320">
        <v>0.991352381</v>
      </c>
      <c r="E31" s="317" t="s">
        <v>85</v>
      </c>
      <c r="F31" s="320">
        <v>0.50549999999999995</v>
      </c>
      <c r="H31" s="317" t="s">
        <v>86</v>
      </c>
      <c r="I31" s="320">
        <v>1.753342857</v>
      </c>
      <c r="K31" s="317" t="s">
        <v>87</v>
      </c>
      <c r="L31" s="320">
        <v>2.5013999999999998</v>
      </c>
    </row>
    <row r="32" spans="2:12" x14ac:dyDescent="0.25">
      <c r="B32" s="317" t="s">
        <v>88</v>
      </c>
      <c r="C32" s="320">
        <v>0.99292499999999995</v>
      </c>
      <c r="E32" s="317" t="s">
        <v>89</v>
      </c>
      <c r="F32" s="320">
        <v>0.50608571400000002</v>
      </c>
      <c r="H32" s="317" t="s">
        <v>90</v>
      </c>
      <c r="I32" s="320">
        <v>1.747215</v>
      </c>
      <c r="K32" s="317" t="s">
        <v>91</v>
      </c>
      <c r="L32" s="320">
        <v>3.1004999999999998</v>
      </c>
    </row>
    <row r="33" spans="2:16" x14ac:dyDescent="0.25">
      <c r="B33" s="317" t="s">
        <v>92</v>
      </c>
      <c r="C33" s="320">
        <v>0.997159091</v>
      </c>
      <c r="E33" s="317" t="s">
        <v>93</v>
      </c>
      <c r="F33" s="320">
        <v>0.49637999999999999</v>
      </c>
      <c r="H33" s="317" t="s">
        <v>94</v>
      </c>
      <c r="I33" s="320">
        <v>1.7484045450000001</v>
      </c>
      <c r="K33" s="317" t="s">
        <v>95</v>
      </c>
      <c r="L33" s="320">
        <v>3.327</v>
      </c>
      <c r="O33" s="317">
        <v>2018</v>
      </c>
    </row>
    <row r="34" spans="2:16" x14ac:dyDescent="0.25">
      <c r="B34" s="317" t="s">
        <v>96</v>
      </c>
      <c r="C34" s="320">
        <v>1.008775</v>
      </c>
      <c r="E34" s="317" t="s">
        <v>97</v>
      </c>
      <c r="F34" s="320">
        <v>0.494685714</v>
      </c>
      <c r="H34" s="317" t="s">
        <v>98</v>
      </c>
      <c r="I34" s="320">
        <v>1.74509</v>
      </c>
      <c r="K34" s="317" t="s">
        <v>99</v>
      </c>
      <c r="L34" s="320">
        <v>3.76</v>
      </c>
      <c r="O34" s="317">
        <v>2019</v>
      </c>
    </row>
    <row r="35" spans="2:16" x14ac:dyDescent="0.25">
      <c r="B35" s="317" t="s">
        <v>100</v>
      </c>
      <c r="C35" s="320">
        <v>1.0086250000000001</v>
      </c>
      <c r="E35" s="317" t="s">
        <v>101</v>
      </c>
      <c r="F35" s="320">
        <v>0.50005999999999995</v>
      </c>
      <c r="H35" s="317" t="s">
        <v>102</v>
      </c>
      <c r="I35" s="320">
        <v>1.7496750000000001</v>
      </c>
      <c r="K35" s="317" t="s">
        <v>103</v>
      </c>
      <c r="L35" s="320">
        <v>4.1395</v>
      </c>
      <c r="O35" s="317">
        <v>2020</v>
      </c>
    </row>
    <row r="36" spans="2:16" x14ac:dyDescent="0.25">
      <c r="B36" s="317" t="s">
        <v>104</v>
      </c>
      <c r="C36" s="320">
        <v>1.0041954550000001</v>
      </c>
      <c r="E36" s="317" t="s">
        <v>105</v>
      </c>
      <c r="F36" s="320">
        <v>0.50151428600000003</v>
      </c>
      <c r="H36" s="317" t="s">
        <v>106</v>
      </c>
      <c r="I36" s="320">
        <v>1.7467227270000001</v>
      </c>
      <c r="K36" s="317" t="s">
        <v>107</v>
      </c>
      <c r="L36" s="320">
        <v>4.3029000000000002</v>
      </c>
      <c r="O36" s="317">
        <v>2021</v>
      </c>
      <c r="P36" s="322">
        <f>AVERAGE(L12:L23,I12:I47,F12:F47,C12:C47)/100</f>
        <v>8.7362799291666685E-3</v>
      </c>
    </row>
    <row r="37" spans="2:16" x14ac:dyDescent="0.25">
      <c r="B37" s="317" t="s">
        <v>108</v>
      </c>
      <c r="C37" s="320">
        <v>0.99182631600000004</v>
      </c>
      <c r="E37" s="317" t="s">
        <v>109</v>
      </c>
      <c r="F37" s="320">
        <v>0.48940526299999998</v>
      </c>
      <c r="H37" s="317" t="s">
        <v>110</v>
      </c>
      <c r="I37" s="320">
        <v>1.7476631579999999</v>
      </c>
      <c r="K37" s="317" t="s">
        <v>111</v>
      </c>
      <c r="L37" s="320">
        <v>4.5057999999999998</v>
      </c>
      <c r="O37" s="317">
        <v>2022</v>
      </c>
      <c r="P37" s="322">
        <f>AVERAGE(L12:L35,I12:I47,F12:F47,C24:C47)/100</f>
        <v>9.6254685052499997E-3</v>
      </c>
    </row>
    <row r="38" spans="2:16" x14ac:dyDescent="0.25">
      <c r="B38" s="317" t="s">
        <v>112</v>
      </c>
      <c r="C38" s="320">
        <v>0.98941428600000003</v>
      </c>
      <c r="E38" s="317" t="s">
        <v>113</v>
      </c>
      <c r="F38" s="320">
        <v>0.49456086999999999</v>
      </c>
      <c r="H38" s="317" t="s">
        <v>114</v>
      </c>
      <c r="I38" s="320">
        <v>0.95288181800000005</v>
      </c>
      <c r="K38" s="317" t="s">
        <v>115</v>
      </c>
      <c r="L38" s="320">
        <v>4.5</v>
      </c>
    </row>
    <row r="39" spans="2:16" x14ac:dyDescent="0.25">
      <c r="B39" s="317" t="s">
        <v>116</v>
      </c>
      <c r="C39" s="320">
        <v>0.99413333299999995</v>
      </c>
      <c r="E39" s="317" t="s">
        <v>117</v>
      </c>
      <c r="F39" s="320">
        <v>0.50745263200000001</v>
      </c>
      <c r="H39" s="317" t="s">
        <v>118</v>
      </c>
      <c r="I39" s="320">
        <v>0.18234761899999999</v>
      </c>
      <c r="K39" s="317" t="s">
        <v>119</v>
      </c>
      <c r="L39" s="320">
        <v>4.5</v>
      </c>
    </row>
    <row r="40" spans="2:16" x14ac:dyDescent="0.25">
      <c r="B40" s="317" t="s">
        <v>120</v>
      </c>
      <c r="C40" s="320">
        <v>0.994638095</v>
      </c>
      <c r="E40" s="317" t="s">
        <v>121</v>
      </c>
      <c r="F40" s="320">
        <v>0.48957272699999999</v>
      </c>
      <c r="H40" s="317" t="s">
        <v>122</v>
      </c>
      <c r="I40" s="320">
        <v>0.21357499999999999</v>
      </c>
      <c r="K40" s="317" t="s">
        <v>123</v>
      </c>
      <c r="L40" s="320">
        <v>4.5</v>
      </c>
    </row>
    <row r="41" spans="2:16" x14ac:dyDescent="0.25">
      <c r="B41" s="317" t="s">
        <v>124</v>
      </c>
      <c r="C41" s="320">
        <v>1.007114286</v>
      </c>
      <c r="E41" s="317" t="s">
        <v>125</v>
      </c>
      <c r="F41" s="320">
        <v>0.49350454500000002</v>
      </c>
      <c r="H41" s="317" t="s">
        <v>126</v>
      </c>
      <c r="I41" s="320">
        <v>0.2344</v>
      </c>
      <c r="K41" s="317" t="s">
        <v>127</v>
      </c>
      <c r="L41" s="317">
        <v>4.6931799999999999</v>
      </c>
    </row>
    <row r="42" spans="2:16" x14ac:dyDescent="0.25">
      <c r="B42" s="317" t="s">
        <v>128</v>
      </c>
      <c r="C42" s="320">
        <v>1.0017909089999999</v>
      </c>
      <c r="E42" s="317" t="s">
        <v>129</v>
      </c>
      <c r="F42" s="320">
        <v>0.67283000000000004</v>
      </c>
      <c r="H42" s="317" t="s">
        <v>130</v>
      </c>
      <c r="I42" s="320">
        <v>0.24454545499999999</v>
      </c>
      <c r="K42" s="317" t="s">
        <v>131</v>
      </c>
      <c r="L42" s="320">
        <v>4.9130000000000003</v>
      </c>
    </row>
    <row r="43" spans="2:16" x14ac:dyDescent="0.25">
      <c r="B43" s="317" t="s">
        <v>132</v>
      </c>
      <c r="C43" s="320">
        <v>0.99940499999999999</v>
      </c>
      <c r="E43" s="317" t="s">
        <v>133</v>
      </c>
      <c r="F43" s="320">
        <v>0.74462727299999998</v>
      </c>
      <c r="H43" s="317" t="s">
        <v>134</v>
      </c>
      <c r="I43" s="320">
        <v>0.23599999999999999</v>
      </c>
      <c r="K43" s="317" t="s">
        <v>135</v>
      </c>
      <c r="L43" s="320">
        <v>5.0059089999999999</v>
      </c>
    </row>
    <row r="44" spans="2:16" x14ac:dyDescent="0.25">
      <c r="B44" s="317" t="s">
        <v>136</v>
      </c>
      <c r="C44" s="320">
        <v>1.0012380949999999</v>
      </c>
      <c r="E44" s="317" t="s">
        <v>137</v>
      </c>
      <c r="F44" s="320">
        <v>0.97201499999999996</v>
      </c>
      <c r="H44" s="317" t="s">
        <v>138</v>
      </c>
      <c r="I44" s="320">
        <v>0.235714286</v>
      </c>
      <c r="K44" s="317" t="s">
        <v>139</v>
      </c>
      <c r="L44" s="320">
        <v>5.0075000000000003</v>
      </c>
    </row>
    <row r="45" spans="2:16" x14ac:dyDescent="0.25">
      <c r="B45" s="317" t="s">
        <v>140</v>
      </c>
      <c r="C45" s="320">
        <v>1.0089454550000001</v>
      </c>
      <c r="E45" s="317" t="s">
        <v>141</v>
      </c>
      <c r="F45" s="320">
        <v>0.98600952399999997</v>
      </c>
      <c r="H45" s="317" t="s">
        <v>142</v>
      </c>
      <c r="I45" s="320">
        <v>0.22666666699999999</v>
      </c>
      <c r="K45" s="317" t="s">
        <v>143</v>
      </c>
      <c r="L45" s="320">
        <v>5.0274999999999999</v>
      </c>
    </row>
    <row r="46" spans="2:16" x14ac:dyDescent="0.25">
      <c r="B46" s="317" t="s">
        <v>144</v>
      </c>
      <c r="C46" s="320">
        <v>1.009184211</v>
      </c>
      <c r="E46" s="317" t="s">
        <v>145</v>
      </c>
      <c r="F46" s="320">
        <v>0.99111428599999996</v>
      </c>
      <c r="H46" s="317" t="s">
        <v>146</v>
      </c>
      <c r="I46" s="320">
        <v>0.20849999999999999</v>
      </c>
      <c r="K46" s="317" t="s">
        <v>147</v>
      </c>
      <c r="L46" s="320">
        <v>5.0323808999999997</v>
      </c>
    </row>
    <row r="47" spans="2:16" x14ac:dyDescent="0.25">
      <c r="B47" s="317" t="s">
        <v>148</v>
      </c>
      <c r="C47" s="320">
        <v>1.018142857</v>
      </c>
      <c r="E47" s="317" t="s">
        <v>149</v>
      </c>
      <c r="F47" s="320">
        <v>0.996694737</v>
      </c>
      <c r="H47" s="317" t="s">
        <v>150</v>
      </c>
      <c r="I47" s="320">
        <v>0.203333333</v>
      </c>
      <c r="K47" s="317" t="s">
        <v>151</v>
      </c>
      <c r="L47" s="320">
        <v>5.0347368000000001</v>
      </c>
    </row>
    <row r="50" spans="11:12" x14ac:dyDescent="0.25">
      <c r="K50" s="317" t="s">
        <v>152</v>
      </c>
      <c r="L50" s="323">
        <f>+AVERAGE(C36:C47,F12:F47,I12:I47,L12:L47)/100</f>
        <v>1.3367996104000001E-2</v>
      </c>
    </row>
    <row r="52" spans="11:12" x14ac:dyDescent="0.25">
      <c r="K52" s="317" t="s">
        <v>153</v>
      </c>
      <c r="L52" s="321">
        <f>L50+0.0075</f>
        <v>2.0867996104000003E-2</v>
      </c>
    </row>
    <row r="136" spans="2:3" x14ac:dyDescent="0.25">
      <c r="B136" s="317" t="s">
        <v>154</v>
      </c>
      <c r="C136" s="324">
        <f>+AVERAGE(C21:C92)/100</f>
        <v>1.0058540373333334E-2</v>
      </c>
    </row>
  </sheetData>
  <hyperlinks>
    <hyperlink ref="F7" r:id="rId1" display="https://www.bankofcanada.ca/rates/interest-rates/corra/" xr:uid="{AB0DD725-0FC9-46C4-B32D-219C04C425C6}"/>
  </hyperlinks>
  <pageMargins left="0.7" right="0.7" top="0.75" bottom="0.75" header="0.3" footer="0.3"/>
  <pageSetup scale="4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47C5E-2199-4065-9A77-51375FD52E11}">
  <sheetPr>
    <tabColor theme="9" tint="0.79998168889431442"/>
    <pageSetUpPr fitToPage="1"/>
  </sheetPr>
  <dimension ref="A1:M63"/>
  <sheetViews>
    <sheetView zoomScaleNormal="100" workbookViewId="0">
      <selection sqref="A1:B1"/>
    </sheetView>
  </sheetViews>
  <sheetFormatPr defaultRowHeight="12.75" x14ac:dyDescent="0.2"/>
  <cols>
    <col min="1" max="1" width="70.28515625" customWidth="1"/>
    <col min="2" max="2" width="23.28515625" bestFit="1" customWidth="1"/>
    <col min="3" max="3" width="5.7109375" customWidth="1"/>
    <col min="4" max="4" width="8.7109375" customWidth="1"/>
    <col min="5" max="5" width="15.7109375" customWidth="1"/>
    <col min="6" max="6" width="15" bestFit="1" customWidth="1"/>
    <col min="7" max="7" width="16.28515625" customWidth="1"/>
    <col min="8" max="8" width="12.7109375" customWidth="1"/>
    <col min="9" max="9" width="33.28515625" customWidth="1"/>
    <col min="10" max="12" width="12.7109375" customWidth="1"/>
    <col min="13" max="13" width="10.7109375" bestFit="1" customWidth="1"/>
  </cols>
  <sheetData>
    <row r="1" spans="1:10" s="6" customFormat="1" ht="23.25" x14ac:dyDescent="0.35">
      <c r="A1" s="455" t="s">
        <v>483</v>
      </c>
      <c r="B1" s="455"/>
      <c r="C1" s="2"/>
      <c r="D1" s="5"/>
      <c r="F1" s="86"/>
      <c r="G1" s="3"/>
      <c r="H1" s="3"/>
      <c r="J1" s="8"/>
    </row>
    <row r="2" spans="1:10" ht="33" customHeight="1" x14ac:dyDescent="0.25">
      <c r="A2" s="10"/>
      <c r="B2" s="10"/>
      <c r="F2" s="288" t="s">
        <v>856</v>
      </c>
      <c r="G2" s="288" t="s">
        <v>857</v>
      </c>
      <c r="H2" s="87"/>
    </row>
    <row r="4" spans="1:10" x14ac:dyDescent="0.2">
      <c r="A4" s="45" t="s">
        <v>484</v>
      </c>
      <c r="B4" s="34" t="s">
        <v>485</v>
      </c>
      <c r="F4" s="88">
        <v>447558558.66642624</v>
      </c>
      <c r="G4" s="88">
        <f>'2025 Water - Phase Costs'!K111</f>
        <v>1387784873.8659995</v>
      </c>
      <c r="I4" s="45"/>
    </row>
    <row r="5" spans="1:10" x14ac:dyDescent="0.2">
      <c r="B5" s="34"/>
      <c r="F5" s="88"/>
      <c r="I5" s="89"/>
    </row>
    <row r="6" spans="1:10" x14ac:dyDescent="0.2">
      <c r="A6" s="45" t="s">
        <v>486</v>
      </c>
      <c r="B6" s="34" t="s">
        <v>487</v>
      </c>
      <c r="D6" s="90" t="s">
        <v>488</v>
      </c>
      <c r="F6" s="88">
        <v>9340547.1193683147</v>
      </c>
      <c r="G6" s="88">
        <f>'2025 Water - Phase Costs'!L111</f>
        <v>28963070.317583419</v>
      </c>
      <c r="I6" s="89"/>
    </row>
    <row r="7" spans="1:10" ht="13.5" thickBot="1" x14ac:dyDescent="0.25">
      <c r="B7" s="34"/>
      <c r="F7" s="88"/>
      <c r="I7" s="89"/>
    </row>
    <row r="8" spans="1:10" x14ac:dyDescent="0.2">
      <c r="A8" s="45" t="s">
        <v>489</v>
      </c>
      <c r="B8" s="34" t="s">
        <v>490</v>
      </c>
      <c r="F8" s="93">
        <f>F6+F4</f>
        <v>456899105.78579456</v>
      </c>
      <c r="G8" s="93">
        <f>G6+G4</f>
        <v>1416747944.1835828</v>
      </c>
      <c r="H8" s="89"/>
      <c r="I8" s="89"/>
    </row>
    <row r="9" spans="1:10" x14ac:dyDescent="0.2">
      <c r="B9" s="34"/>
      <c r="F9" s="88"/>
      <c r="I9" s="89"/>
    </row>
    <row r="10" spans="1:10" x14ac:dyDescent="0.2">
      <c r="A10" s="45" t="s">
        <v>491</v>
      </c>
      <c r="B10" s="91" t="s">
        <v>492</v>
      </c>
      <c r="D10" s="90" t="s">
        <v>493</v>
      </c>
      <c r="F10" s="88">
        <v>-232292065.79583618</v>
      </c>
      <c r="G10" s="88">
        <f>-'2025 Water - Phase Costs'!O111</f>
        <v>-1008544152.7994616</v>
      </c>
      <c r="I10" s="89"/>
    </row>
    <row r="11" spans="1:10" x14ac:dyDescent="0.2">
      <c r="B11" s="34"/>
      <c r="F11" s="88"/>
      <c r="I11" s="89"/>
    </row>
    <row r="12" spans="1:10" x14ac:dyDescent="0.2">
      <c r="A12" s="45" t="s">
        <v>494</v>
      </c>
      <c r="B12" s="91" t="str">
        <f>_xlfn.CONCAT("(E) = ((C) - (D)) * ",TEXT('Population Projections'!C36 * 100,"0.0"),"%")</f>
        <v>(E) = ((C) - (D)) * 23.4%</v>
      </c>
      <c r="D12" s="90" t="s">
        <v>495</v>
      </c>
      <c r="F12" s="88">
        <v>-52945855.418685488</v>
      </c>
      <c r="G12" s="88">
        <f>-'2025 Water - Phase Costs'!Q111</f>
        <v>-101162160.54569894</v>
      </c>
      <c r="H12" s="92"/>
      <c r="I12" s="89"/>
    </row>
    <row r="13" spans="1:10" ht="13.5" thickBot="1" x14ac:dyDescent="0.25">
      <c r="A13" s="45"/>
      <c r="B13" s="34"/>
      <c r="F13" s="88"/>
      <c r="I13" s="89"/>
    </row>
    <row r="14" spans="1:10" x14ac:dyDescent="0.2">
      <c r="A14" s="45" t="s">
        <v>496</v>
      </c>
      <c r="B14" s="34" t="s">
        <v>497</v>
      </c>
      <c r="F14" s="93">
        <v>190554988.88661292</v>
      </c>
      <c r="G14" s="93">
        <f>G8+G10+G12</f>
        <v>307041630.83842224</v>
      </c>
      <c r="H14" s="88"/>
      <c r="I14" s="89"/>
    </row>
    <row r="15" spans="1:10" x14ac:dyDescent="0.2">
      <c r="B15" s="34"/>
      <c r="F15" s="88"/>
      <c r="G15" s="88"/>
      <c r="H15" s="88"/>
      <c r="I15" s="89"/>
    </row>
    <row r="16" spans="1:10" x14ac:dyDescent="0.2">
      <c r="A16" s="45" t="s">
        <v>498</v>
      </c>
      <c r="B16" s="34" t="s">
        <v>499</v>
      </c>
      <c r="D16" s="90" t="s">
        <v>500</v>
      </c>
      <c r="F16" s="94">
        <v>-13062440.98609915</v>
      </c>
      <c r="G16" s="94">
        <f>'Water - Financial Model'!L91</f>
        <v>50006114.243038036</v>
      </c>
      <c r="H16" s="94"/>
      <c r="I16" s="89"/>
      <c r="J16" s="87"/>
    </row>
    <row r="17" spans="1:9" ht="13.5" thickBot="1" x14ac:dyDescent="0.25">
      <c r="B17" s="34"/>
      <c r="F17" s="88"/>
      <c r="G17" s="88"/>
      <c r="H17" s="88"/>
      <c r="I17" s="89"/>
    </row>
    <row r="18" spans="1:9" ht="13.5" thickBot="1" x14ac:dyDescent="0.25">
      <c r="A18" s="45" t="s">
        <v>501</v>
      </c>
      <c r="B18" s="34" t="s">
        <v>502</v>
      </c>
      <c r="F18" s="169">
        <f>F14+F16</f>
        <v>177492547.90051377</v>
      </c>
      <c r="G18" s="169">
        <f>G14+G16</f>
        <v>357047745.0814603</v>
      </c>
      <c r="H18" s="88"/>
      <c r="I18" s="89"/>
    </row>
    <row r="19" spans="1:9" ht="13.5" thickTop="1" x14ac:dyDescent="0.2">
      <c r="B19" s="34"/>
      <c r="F19" s="88"/>
      <c r="I19" s="89"/>
    </row>
    <row r="20" spans="1:9" x14ac:dyDescent="0.2">
      <c r="A20" s="45" t="s">
        <v>503</v>
      </c>
      <c r="B20" s="34" t="s">
        <v>504</v>
      </c>
      <c r="D20" s="45"/>
      <c r="F20" s="96">
        <v>0.6322589317297489</v>
      </c>
      <c r="G20" s="96">
        <f>F20</f>
        <v>0.6322589317297489</v>
      </c>
      <c r="H20" s="96"/>
      <c r="I20" s="89"/>
    </row>
    <row r="21" spans="1:9" x14ac:dyDescent="0.2">
      <c r="B21" s="34"/>
      <c r="F21" s="97"/>
      <c r="G21" s="165"/>
      <c r="H21" s="98"/>
      <c r="I21" s="89"/>
    </row>
    <row r="22" spans="1:9" x14ac:dyDescent="0.2">
      <c r="A22" s="45" t="s">
        <v>505</v>
      </c>
      <c r="B22" s="34" t="s">
        <v>506</v>
      </c>
      <c r="D22" s="45"/>
      <c r="F22" s="96">
        <v>0.3677410682702511</v>
      </c>
      <c r="G22" s="96">
        <f>F22</f>
        <v>0.3677410682702511</v>
      </c>
      <c r="H22" s="96"/>
      <c r="I22" s="89"/>
    </row>
    <row r="23" spans="1:9" x14ac:dyDescent="0.2">
      <c r="B23" s="34"/>
      <c r="D23" s="45"/>
      <c r="F23" s="99"/>
      <c r="I23" s="89"/>
    </row>
    <row r="24" spans="1:9" x14ac:dyDescent="0.2">
      <c r="A24" s="45" t="s">
        <v>507</v>
      </c>
      <c r="B24" s="34" t="s">
        <v>508</v>
      </c>
      <c r="D24" s="45"/>
      <c r="F24" s="100">
        <f>F20*F18</f>
        <v>112221248.72557013</v>
      </c>
      <c r="G24" s="100">
        <f>G20*G18</f>
        <v>225746625.8817198</v>
      </c>
      <c r="H24" s="100"/>
      <c r="I24" s="89"/>
    </row>
    <row r="25" spans="1:9" x14ac:dyDescent="0.2">
      <c r="B25" s="34"/>
      <c r="D25" s="45"/>
      <c r="F25" s="88"/>
      <c r="G25" s="88"/>
      <c r="H25" s="88"/>
      <c r="I25" s="89"/>
    </row>
    <row r="26" spans="1:9" x14ac:dyDescent="0.2">
      <c r="A26" s="45" t="s">
        <v>509</v>
      </c>
      <c r="B26" s="34" t="s">
        <v>510</v>
      </c>
      <c r="D26" s="31"/>
      <c r="F26" s="100">
        <f>F18*F22</f>
        <v>65271299.174943648</v>
      </c>
      <c r="G26" s="100">
        <f>G18*G22</f>
        <v>131301119.1997405</v>
      </c>
      <c r="H26" s="100"/>
      <c r="I26" s="89"/>
    </row>
    <row r="27" spans="1:9" x14ac:dyDescent="0.2">
      <c r="A27" s="45"/>
      <c r="B27" s="34"/>
    </row>
    <row r="28" spans="1:9" x14ac:dyDescent="0.2">
      <c r="A28" s="45" t="s">
        <v>511</v>
      </c>
      <c r="B28" s="34" t="s">
        <v>512</v>
      </c>
      <c r="D28" s="90" t="s">
        <v>513</v>
      </c>
      <c r="F28" s="102">
        <v>89369.8</v>
      </c>
      <c r="G28" s="102">
        <f>F28</f>
        <v>89369.8</v>
      </c>
      <c r="H28" s="102"/>
    </row>
    <row r="29" spans="1:9" x14ac:dyDescent="0.2">
      <c r="A29" s="45"/>
      <c r="B29" s="34"/>
    </row>
    <row r="30" spans="1:9" x14ac:dyDescent="0.2">
      <c r="A30" s="45" t="s">
        <v>514</v>
      </c>
      <c r="B30" s="34" t="s">
        <v>515</v>
      </c>
      <c r="D30" s="90" t="s">
        <v>516</v>
      </c>
      <c r="F30" s="101">
        <v>51980.2</v>
      </c>
      <c r="G30" s="102">
        <f>F30</f>
        <v>51980.2</v>
      </c>
      <c r="H30" s="102"/>
    </row>
    <row r="31" spans="1:9" x14ac:dyDescent="0.2">
      <c r="A31" s="45"/>
      <c r="B31" s="34"/>
    </row>
    <row r="32" spans="1:9" x14ac:dyDescent="0.2">
      <c r="A32" s="45" t="s">
        <v>517</v>
      </c>
      <c r="B32" s="34" t="str">
        <f>_xlfn.CONCAT("(M) = (K) / ",'Population Projections'!G15," ppu")</f>
        <v>(M) = (K) / 2.04 ppu</v>
      </c>
      <c r="F32" s="103">
        <v>43809</v>
      </c>
      <c r="G32" s="102">
        <f>F32</f>
        <v>43809</v>
      </c>
      <c r="H32" s="103"/>
    </row>
    <row r="33" spans="1:12" x14ac:dyDescent="0.2">
      <c r="A33" s="45"/>
      <c r="B33" s="34"/>
      <c r="F33" s="103"/>
      <c r="G33" s="103"/>
      <c r="H33" s="103"/>
    </row>
    <row r="34" spans="1:12" x14ac:dyDescent="0.2">
      <c r="A34" s="45" t="s">
        <v>518</v>
      </c>
      <c r="B34" s="34" t="str">
        <f>_xlfn.CONCAT("(N) = (M) * ",'Population Projections'!G17*100,"%")</f>
        <v>(N) = (M) * 26%</v>
      </c>
      <c r="D34" s="45"/>
      <c r="F34" s="103">
        <v>11390</v>
      </c>
      <c r="G34" s="102">
        <f>F34</f>
        <v>11390</v>
      </c>
      <c r="H34" s="103"/>
    </row>
    <row r="35" spans="1:12" x14ac:dyDescent="0.2">
      <c r="A35" s="45"/>
      <c r="B35" s="34"/>
      <c r="F35" s="103"/>
      <c r="G35" s="103"/>
      <c r="H35" s="103"/>
    </row>
    <row r="36" spans="1:12" x14ac:dyDescent="0.2">
      <c r="A36" s="45" t="s">
        <v>519</v>
      </c>
      <c r="B36" s="34" t="str">
        <f>_xlfn.CONCAT("(O) = (M) * ",'Population Projections'!G18*100,"%")</f>
        <v>(O) = (M) * 74%</v>
      </c>
      <c r="D36" s="45"/>
      <c r="F36" s="103">
        <v>32419</v>
      </c>
      <c r="G36" s="102">
        <f>F36</f>
        <v>32419</v>
      </c>
      <c r="H36" s="103"/>
    </row>
    <row r="37" spans="1:12" x14ac:dyDescent="0.2">
      <c r="A37" s="45"/>
      <c r="B37" s="34"/>
      <c r="I37" s="45"/>
    </row>
    <row r="38" spans="1:12" x14ac:dyDescent="0.2">
      <c r="A38" s="45" t="s">
        <v>520</v>
      </c>
      <c r="B38" s="34" t="s">
        <v>521</v>
      </c>
      <c r="D38" s="90" t="s">
        <v>522</v>
      </c>
      <c r="F38" s="104">
        <v>1.4888888888888889</v>
      </c>
      <c r="G38" s="181">
        <f>F38</f>
        <v>1.4888888888888889</v>
      </c>
      <c r="H38" s="104"/>
      <c r="K38" s="45"/>
    </row>
    <row r="39" spans="1:12" x14ac:dyDescent="0.2">
      <c r="A39" s="45"/>
      <c r="B39" s="34"/>
      <c r="I39" s="31"/>
      <c r="J39" s="34"/>
      <c r="K39" s="34"/>
    </row>
    <row r="40" spans="1:12" x14ac:dyDescent="0.2">
      <c r="A40" s="45" t="s">
        <v>523</v>
      </c>
      <c r="B40" s="34" t="s">
        <v>524</v>
      </c>
      <c r="D40" s="31" t="s">
        <v>525</v>
      </c>
      <c r="F40" s="105">
        <f>F24/(F34+(F36/F38))</f>
        <v>3383.8318731283962</v>
      </c>
      <c r="G40" s="105">
        <f>$G$24/($G$34+($G$36/$G$38))</f>
        <v>6806.9874162405367</v>
      </c>
      <c r="H40" s="106"/>
      <c r="I40" s="31"/>
      <c r="J40" s="107"/>
      <c r="K40" s="107"/>
    </row>
    <row r="41" spans="1:12" x14ac:dyDescent="0.2">
      <c r="A41" s="45"/>
      <c r="B41" s="34"/>
      <c r="F41" s="108"/>
      <c r="G41" s="108"/>
      <c r="H41" s="108"/>
      <c r="I41" s="32"/>
      <c r="J41" s="107"/>
      <c r="K41" s="107"/>
    </row>
    <row r="42" spans="1:12" x14ac:dyDescent="0.2">
      <c r="A42" s="45" t="s">
        <v>528</v>
      </c>
      <c r="B42" s="34" t="s">
        <v>529</v>
      </c>
      <c r="D42" s="31" t="s">
        <v>530</v>
      </c>
      <c r="F42" s="105">
        <f>(F24/(F36+(F34*F38)))</f>
        <v>2272.7228998623555</v>
      </c>
      <c r="G42" s="105">
        <f>$G$24/($G$36+($G$34*$G$38))</f>
        <v>4571.8572198630463</v>
      </c>
      <c r="H42" s="106"/>
      <c r="I42" s="31"/>
      <c r="J42" s="107"/>
      <c r="K42" s="107"/>
    </row>
    <row r="43" spans="1:12" x14ac:dyDescent="0.2">
      <c r="A43" s="45"/>
      <c r="B43" s="34"/>
      <c r="F43" s="108"/>
      <c r="G43" s="31"/>
      <c r="H43" s="31"/>
      <c r="I43" s="32"/>
      <c r="J43" s="107"/>
      <c r="K43" s="107"/>
    </row>
    <row r="44" spans="1:12" x14ac:dyDescent="0.2">
      <c r="A44" s="45" t="s">
        <v>533</v>
      </c>
      <c r="B44" s="34" t="s">
        <v>534</v>
      </c>
      <c r="D44" s="45" t="s">
        <v>535</v>
      </c>
      <c r="F44" s="109">
        <f>F26/F30</f>
        <v>1255.6954220057571</v>
      </c>
      <c r="G44" s="109">
        <f>G26/G30</f>
        <v>2525.9833398051665</v>
      </c>
      <c r="H44" s="110"/>
      <c r="I44" s="31"/>
    </row>
    <row r="45" spans="1:12" x14ac:dyDescent="0.2">
      <c r="A45" s="45"/>
      <c r="B45" s="34"/>
      <c r="G45" s="31"/>
      <c r="H45" s="31"/>
      <c r="I45" s="31"/>
      <c r="J45" s="31"/>
    </row>
    <row r="46" spans="1:12" x14ac:dyDescent="0.2">
      <c r="A46" s="45" t="s">
        <v>536</v>
      </c>
      <c r="B46" s="34" t="s">
        <v>537</v>
      </c>
      <c r="D46" s="45" t="s">
        <v>538</v>
      </c>
      <c r="F46" s="101">
        <v>809.32642487046633</v>
      </c>
      <c r="G46" s="111">
        <f>F46</f>
        <v>809.32642487046633</v>
      </c>
      <c r="H46" s="111"/>
      <c r="I46" s="31"/>
      <c r="J46" s="112"/>
      <c r="L46" s="113"/>
    </row>
    <row r="47" spans="1:12" x14ac:dyDescent="0.2">
      <c r="A47" s="45"/>
      <c r="B47" s="34"/>
      <c r="F47" s="114"/>
      <c r="G47" s="114"/>
      <c r="H47" s="110"/>
      <c r="I47" s="31"/>
      <c r="J47" s="112"/>
      <c r="L47" s="113"/>
    </row>
    <row r="48" spans="1:12" ht="14.25" x14ac:dyDescent="0.2">
      <c r="A48" s="45" t="s">
        <v>539</v>
      </c>
      <c r="B48" s="34" t="s">
        <v>540</v>
      </c>
      <c r="D48" s="31" t="s">
        <v>541</v>
      </c>
      <c r="F48" s="110">
        <f>F44/F46</f>
        <v>1.551531475333618</v>
      </c>
      <c r="G48" s="110">
        <f>G44/G46</f>
        <v>3.1210933712061277</v>
      </c>
      <c r="H48" s="110"/>
      <c r="I48" s="31"/>
      <c r="J48" s="112"/>
      <c r="L48" s="113"/>
    </row>
    <row r="49" spans="1:13" ht="14.25" x14ac:dyDescent="0.2">
      <c r="A49" s="45"/>
      <c r="B49" s="34"/>
      <c r="D49" s="31" t="s">
        <v>542</v>
      </c>
      <c r="F49" s="115">
        <f>CONVERT(F48,"m^2","ft^2")</f>
        <v>16.700545809196534</v>
      </c>
      <c r="G49" s="115">
        <f>CONVERT(G48,"m^2","ft^2")</f>
        <v>33.595169449849301</v>
      </c>
      <c r="H49" s="110"/>
      <c r="I49" s="31"/>
    </row>
    <row r="50" spans="1:13" x14ac:dyDescent="0.2">
      <c r="A50" s="453" t="s">
        <v>933</v>
      </c>
      <c r="B50" s="454"/>
      <c r="C50" s="454"/>
      <c r="J50" s="31"/>
      <c r="K50" s="31"/>
    </row>
    <row r="51" spans="1:13" x14ac:dyDescent="0.2">
      <c r="A51" s="453" t="s">
        <v>543</v>
      </c>
      <c r="B51" s="454"/>
      <c r="C51" s="454"/>
      <c r="J51" s="116"/>
    </row>
    <row r="52" spans="1:13" ht="13.5" thickBot="1" x14ac:dyDescent="0.25">
      <c r="A52" s="453" t="s">
        <v>544</v>
      </c>
      <c r="B52" s="454"/>
      <c r="C52" s="454"/>
      <c r="J52" s="116"/>
    </row>
    <row r="53" spans="1:13" ht="10.9" customHeight="1" x14ac:dyDescent="0.2">
      <c r="A53" s="456" t="s">
        <v>545</v>
      </c>
      <c r="B53" s="457"/>
      <c r="C53" s="457"/>
      <c r="I53" s="281"/>
      <c r="J53" s="282"/>
      <c r="K53" s="283"/>
      <c r="L53" s="284"/>
    </row>
    <row r="54" spans="1:13" ht="25.5" x14ac:dyDescent="0.2">
      <c r="A54" s="457"/>
      <c r="B54" s="457"/>
      <c r="C54" s="457"/>
      <c r="I54" s="285"/>
      <c r="J54" s="286" t="s">
        <v>285</v>
      </c>
      <c r="K54" s="286" t="s">
        <v>858</v>
      </c>
      <c r="L54" s="287" t="s">
        <v>859</v>
      </c>
    </row>
    <row r="55" spans="1:13" x14ac:dyDescent="0.2">
      <c r="A55" s="453" t="s">
        <v>546</v>
      </c>
      <c r="B55" s="454"/>
      <c r="C55" s="454"/>
      <c r="E55" s="117"/>
      <c r="F55" s="117"/>
      <c r="I55" s="259"/>
      <c r="J55" s="118">
        <v>2023</v>
      </c>
      <c r="K55" s="118">
        <v>2024</v>
      </c>
      <c r="L55" s="260">
        <v>2025</v>
      </c>
    </row>
    <row r="56" spans="1:13" x14ac:dyDescent="0.2">
      <c r="A56" s="453" t="s">
        <v>547</v>
      </c>
      <c r="B56" s="454"/>
      <c r="C56" s="454"/>
      <c r="I56" s="259" t="s">
        <v>288</v>
      </c>
      <c r="J56" s="119">
        <v>1921.82</v>
      </c>
      <c r="K56" s="119">
        <f>F40</f>
        <v>3383.8318731283962</v>
      </c>
      <c r="L56" s="261">
        <f>G40</f>
        <v>6806.9874162405367</v>
      </c>
      <c r="M56" s="120"/>
    </row>
    <row r="57" spans="1:13" x14ac:dyDescent="0.2">
      <c r="A57" s="453" t="s">
        <v>548</v>
      </c>
      <c r="B57" s="454"/>
      <c r="C57" s="454"/>
      <c r="I57" s="259" t="s">
        <v>289</v>
      </c>
      <c r="J57" s="119">
        <v>1290.77</v>
      </c>
      <c r="K57" s="119">
        <f>F42</f>
        <v>2272.7228998623555</v>
      </c>
      <c r="L57" s="261">
        <f>G42</f>
        <v>4571.8572198630463</v>
      </c>
      <c r="M57" s="120"/>
    </row>
    <row r="58" spans="1:13" x14ac:dyDescent="0.2">
      <c r="I58" s="259" t="s">
        <v>290</v>
      </c>
      <c r="J58" s="119">
        <v>9.49</v>
      </c>
      <c r="K58" s="119">
        <f>F49</f>
        <v>16.700545809196534</v>
      </c>
      <c r="L58" s="261">
        <f>G49</f>
        <v>33.595169449849301</v>
      </c>
      <c r="M58" s="120"/>
    </row>
    <row r="59" spans="1:13" x14ac:dyDescent="0.2">
      <c r="I59" s="259" t="s">
        <v>291</v>
      </c>
      <c r="J59" s="119">
        <v>6126.84</v>
      </c>
      <c r="K59" s="119">
        <f>'2025 Wastewater - Charge'!D40</f>
        <v>6627.3339345897075</v>
      </c>
      <c r="L59" s="261">
        <f>'2025 Wastewater - Charge'!E40</f>
        <v>10766.306319167814</v>
      </c>
      <c r="M59" s="120"/>
    </row>
    <row r="60" spans="1:13" x14ac:dyDescent="0.2">
      <c r="A60" s="45"/>
      <c r="I60" s="259" t="s">
        <v>292</v>
      </c>
      <c r="J60" s="119">
        <v>4115.04</v>
      </c>
      <c r="K60" s="119">
        <f>'2025 Wastewater - Charge'!D42</f>
        <v>4451.1944336796532</v>
      </c>
      <c r="L60" s="261">
        <f>'2025 Wastewater - Charge'!E42</f>
        <v>7231.1012591425606</v>
      </c>
      <c r="M60" s="120"/>
    </row>
    <row r="61" spans="1:13" ht="13.5" thickBot="1" x14ac:dyDescent="0.25">
      <c r="A61" s="31"/>
      <c r="I61" s="262" t="s">
        <v>293</v>
      </c>
      <c r="J61" s="263">
        <v>30.24</v>
      </c>
      <c r="K61" s="263">
        <f>'2025 Wastewater - Charge'!D49</f>
        <v>32.721633000779804</v>
      </c>
      <c r="L61" s="264">
        <f>'2025 Wastewater - Charge'!E49</f>
        <v>53.157291850210022</v>
      </c>
      <c r="M61" s="120"/>
    </row>
    <row r="62" spans="1:13" x14ac:dyDescent="0.2">
      <c r="I62" s="265" t="s">
        <v>294</v>
      </c>
      <c r="J62" s="266"/>
      <c r="K62" s="267">
        <f>K56/J56-1</f>
        <v>0.76074339591033313</v>
      </c>
      <c r="L62" s="268">
        <f>L56/K56-1</f>
        <v>1.0116210472204665</v>
      </c>
    </row>
    <row r="63" spans="1:13" ht="13.5" thickBot="1" x14ac:dyDescent="0.25">
      <c r="A63" s="45"/>
      <c r="I63" s="269" t="s">
        <v>295</v>
      </c>
      <c r="J63" s="270"/>
      <c r="K63" s="271">
        <f>K56/J56-1</f>
        <v>0.76074339591033313</v>
      </c>
      <c r="L63" s="272">
        <f>L56/J56-1</f>
        <v>2.5419484739676643</v>
      </c>
    </row>
  </sheetData>
  <mergeCells count="8">
    <mergeCell ref="A56:C56"/>
    <mergeCell ref="A57:C57"/>
    <mergeCell ref="A1:B1"/>
    <mergeCell ref="A50:C50"/>
    <mergeCell ref="A51:C51"/>
    <mergeCell ref="A52:C52"/>
    <mergeCell ref="A53:C54"/>
    <mergeCell ref="A55:C55"/>
  </mergeCells>
  <pageMargins left="0.7" right="0.7" top="0.75" bottom="0.75" header="0.3" footer="0.3"/>
  <pageSetup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B04DF-CEE3-415C-AF42-B2538A4F46B9}">
  <sheetPr>
    <tabColor rgb="FFFF99FF"/>
    <pageSetUpPr fitToPage="1"/>
  </sheetPr>
  <dimension ref="A1:T116"/>
  <sheetViews>
    <sheetView zoomScale="80" zoomScaleNormal="80" workbookViewId="0">
      <pane ySplit="5" topLeftCell="A6" activePane="bottomLeft" state="frozen"/>
      <selection sqref="A1:B1"/>
      <selection pane="bottomLeft" activeCell="A6" sqref="A6"/>
    </sheetView>
  </sheetViews>
  <sheetFormatPr defaultRowHeight="12.75" x14ac:dyDescent="0.2"/>
  <cols>
    <col min="1" max="1" width="11.28515625" customWidth="1"/>
    <col min="2" max="2" width="11.7109375" bestFit="1" customWidth="1"/>
    <col min="3" max="3" width="60.5703125" customWidth="1"/>
    <col min="4" max="4" width="8.7109375" style="46" customWidth="1"/>
    <col min="5" max="5" width="9.7109375" style="71" customWidth="1"/>
    <col min="6" max="6" width="14.7109375" style="45" customWidth="1"/>
    <col min="7" max="7" width="32.42578125" style="45" customWidth="1"/>
    <col min="8" max="8" width="16" customWidth="1"/>
    <col min="9" max="9" width="19.7109375" bestFit="1" customWidth="1"/>
    <col min="10" max="10" width="19.7109375" customWidth="1"/>
    <col min="11" max="11" width="12.28515625" style="81" bestFit="1" customWidth="1"/>
    <col min="12" max="12" width="19.28515625" bestFit="1" customWidth="1"/>
    <col min="13" max="13" width="17.7109375" bestFit="1" customWidth="1"/>
    <col min="14" max="14" width="19.7109375" bestFit="1" customWidth="1"/>
    <col min="15" max="15" width="10.7109375" style="165" bestFit="1" customWidth="1"/>
    <col min="16" max="16" width="19.7109375" bestFit="1" customWidth="1"/>
    <col min="17" max="17" width="13.42578125" style="166" bestFit="1" customWidth="1"/>
    <col min="18" max="18" width="18.7109375" customWidth="1"/>
    <col min="19" max="19" width="19.7109375" customWidth="1"/>
    <col min="20" max="20" width="12.85546875" customWidth="1"/>
  </cols>
  <sheetData>
    <row r="1" spans="1:19" s="6" customFormat="1" ht="23.25" x14ac:dyDescent="0.35">
      <c r="A1" s="1" t="s">
        <v>549</v>
      </c>
      <c r="B1" s="2"/>
      <c r="C1" s="3"/>
      <c r="D1" s="4"/>
      <c r="E1" s="124"/>
      <c r="F1" s="3"/>
      <c r="G1" s="3"/>
      <c r="H1" s="5"/>
      <c r="K1" s="435" t="s">
        <v>931</v>
      </c>
      <c r="M1" s="7"/>
      <c r="N1" s="8"/>
      <c r="O1" s="125"/>
      <c r="Q1" s="126"/>
    </row>
    <row r="2" spans="1:19" s="15" customFormat="1" ht="18" x14ac:dyDescent="0.25">
      <c r="A2" s="10" t="s">
        <v>550</v>
      </c>
      <c r="B2" s="11"/>
      <c r="C2" s="12"/>
      <c r="D2" s="13"/>
      <c r="E2" s="33"/>
      <c r="F2" s="12"/>
      <c r="G2" s="12"/>
      <c r="H2" s="12"/>
      <c r="K2" s="16"/>
      <c r="M2" s="17"/>
      <c r="N2" s="18"/>
      <c r="O2" s="127"/>
      <c r="Q2" s="128"/>
    </row>
    <row r="3" spans="1:19" s="15" customFormat="1" ht="18" x14ac:dyDescent="0.25">
      <c r="A3" s="10" t="s">
        <v>331</v>
      </c>
      <c r="B3" s="20"/>
      <c r="C3" s="16"/>
      <c r="D3" s="21"/>
      <c r="E3" s="129"/>
      <c r="F3" s="16"/>
      <c r="G3" s="16"/>
      <c r="H3" s="23"/>
      <c r="I3" s="34">
        <v>2019</v>
      </c>
      <c r="J3" s="34">
        <v>2025</v>
      </c>
      <c r="K3" s="16"/>
      <c r="M3" s="49">
        <f>'Financial Assumptions'!H4</f>
        <v>2.087E-2</v>
      </c>
      <c r="N3" s="18"/>
      <c r="O3" s="127"/>
      <c r="P3" s="34" t="s">
        <v>551</v>
      </c>
      <c r="Q3" s="130">
        <f>'Population Projections'!C36</f>
        <v>0.23407892834770871</v>
      </c>
      <c r="S3" s="34" t="s">
        <v>346</v>
      </c>
    </row>
    <row r="4" spans="1:19" s="31" customFormat="1" ht="12.75" customHeight="1" x14ac:dyDescent="0.2">
      <c r="D4" s="32"/>
      <c r="E4" s="34"/>
      <c r="I4" s="34" t="s">
        <v>248</v>
      </c>
      <c r="J4" s="34" t="s">
        <v>248</v>
      </c>
      <c r="K4" s="131" t="s">
        <v>332</v>
      </c>
      <c r="L4" s="34" t="s">
        <v>333</v>
      </c>
      <c r="M4" s="34" t="s">
        <v>334</v>
      </c>
      <c r="N4" s="34" t="s">
        <v>248</v>
      </c>
      <c r="O4" s="130" t="s">
        <v>335</v>
      </c>
      <c r="P4" s="34" t="s">
        <v>336</v>
      </c>
      <c r="Q4" s="132" t="s">
        <v>337</v>
      </c>
      <c r="R4" s="34" t="s">
        <v>337</v>
      </c>
      <c r="S4" s="34" t="s">
        <v>338</v>
      </c>
    </row>
    <row r="5" spans="1:19" s="38" customFormat="1" ht="48.75" customHeight="1" x14ac:dyDescent="0.2">
      <c r="A5" s="38" t="s">
        <v>168</v>
      </c>
      <c r="B5" s="39" t="s">
        <v>339</v>
      </c>
      <c r="C5" s="38" t="s">
        <v>340</v>
      </c>
      <c r="D5" s="40" t="s">
        <v>341</v>
      </c>
      <c r="E5" s="289" t="s">
        <v>748</v>
      </c>
      <c r="F5" s="38" t="s">
        <v>552</v>
      </c>
      <c r="G5" s="38" t="s">
        <v>553</v>
      </c>
      <c r="H5" s="38" t="s">
        <v>343</v>
      </c>
      <c r="I5" s="39" t="s">
        <v>344</v>
      </c>
      <c r="J5" s="39" t="s">
        <v>344</v>
      </c>
      <c r="K5" s="42" t="s">
        <v>278</v>
      </c>
      <c r="L5" s="39" t="s">
        <v>344</v>
      </c>
      <c r="M5" s="39" t="s">
        <v>345</v>
      </c>
      <c r="N5" s="39" t="s">
        <v>554</v>
      </c>
      <c r="O5" s="133" t="s">
        <v>555</v>
      </c>
      <c r="P5" s="39" t="s">
        <v>348</v>
      </c>
      <c r="Q5" s="134" t="s">
        <v>349</v>
      </c>
      <c r="R5" s="39" t="s">
        <v>350</v>
      </c>
      <c r="S5" s="39" t="s">
        <v>344</v>
      </c>
    </row>
    <row r="6" spans="1:19" s="31" customFormat="1" x14ac:dyDescent="0.2">
      <c r="A6" s="44">
        <v>2014</v>
      </c>
      <c r="B6" s="44"/>
      <c r="C6" s="45"/>
      <c r="D6" s="46"/>
      <c r="E6" s="71"/>
      <c r="F6" s="45"/>
      <c r="G6" s="45"/>
      <c r="H6" s="45"/>
      <c r="I6" s="47">
        <v>0</v>
      </c>
      <c r="J6" s="47"/>
      <c r="K6" s="48"/>
      <c r="L6" s="47">
        <f>I6*K6</f>
        <v>0</v>
      </c>
      <c r="M6" s="47">
        <v>0</v>
      </c>
      <c r="N6" s="47">
        <f>L6+M6</f>
        <v>0</v>
      </c>
      <c r="O6" s="130">
        <v>0</v>
      </c>
      <c r="P6" s="47">
        <f>N6*O6</f>
        <v>0</v>
      </c>
      <c r="Q6" s="135"/>
      <c r="R6" s="47">
        <v>0</v>
      </c>
      <c r="S6" s="47">
        <f>N6-P6-R6</f>
        <v>0</v>
      </c>
    </row>
    <row r="7" spans="1:19" s="58" customFormat="1" ht="15" x14ac:dyDescent="0.25">
      <c r="A7" s="57">
        <v>2014</v>
      </c>
      <c r="B7" s="57"/>
      <c r="D7" s="59"/>
      <c r="E7" s="57"/>
      <c r="F7" s="59"/>
      <c r="H7" s="59" t="s">
        <v>351</v>
      </c>
      <c r="I7" s="60">
        <f>SUBTOTAL(9,I6:I6)</f>
        <v>0</v>
      </c>
      <c r="J7" s="60"/>
      <c r="K7" s="60"/>
      <c r="L7" s="60">
        <f>SUBTOTAL(9,L6:L6)</f>
        <v>0</v>
      </c>
      <c r="M7" s="60">
        <f>SUBTOTAL(9,M6:M6)</f>
        <v>0</v>
      </c>
      <c r="N7" s="60">
        <f>SUBTOTAL(9,N6:N6)</f>
        <v>0</v>
      </c>
      <c r="O7" s="136"/>
      <c r="P7" s="60">
        <f>SUBTOTAL(9,P6:P6)</f>
        <v>0</v>
      </c>
      <c r="Q7" s="61"/>
      <c r="R7" s="60">
        <f>SUBTOTAL(9,R6:R6)</f>
        <v>0</v>
      </c>
      <c r="S7" s="60">
        <f>SUBTOTAL(9,S6:S6)</f>
        <v>0</v>
      </c>
    </row>
    <row r="8" spans="1:19" s="31" customFormat="1" x14ac:dyDescent="0.2">
      <c r="A8" s="44">
        <v>2015</v>
      </c>
      <c r="B8" s="44"/>
      <c r="C8" s="45" t="s">
        <v>556</v>
      </c>
      <c r="D8" s="46"/>
      <c r="E8" s="71" t="s">
        <v>742</v>
      </c>
      <c r="F8" s="45" t="s">
        <v>557</v>
      </c>
      <c r="G8" s="45" t="s">
        <v>558</v>
      </c>
      <c r="H8" s="45" t="s">
        <v>198</v>
      </c>
      <c r="I8" s="47">
        <f>L8</f>
        <v>5914129.1545446534</v>
      </c>
      <c r="J8" s="47"/>
      <c r="K8" s="48"/>
      <c r="L8" s="47">
        <f>N8-((N8/(1+$M$3)*$M$3))</f>
        <v>5914129.1545446534</v>
      </c>
      <c r="M8" s="47">
        <f>L8*M3</f>
        <v>123427.87545534692</v>
      </c>
      <c r="N8" s="47">
        <f>S8</f>
        <v>6037557.0300000003</v>
      </c>
      <c r="O8" s="130">
        <v>0</v>
      </c>
      <c r="P8" s="47">
        <f>N8*O8</f>
        <v>0</v>
      </c>
      <c r="Q8" s="135"/>
      <c r="R8" s="47">
        <v>0</v>
      </c>
      <c r="S8" s="47">
        <v>6037557.0300000003</v>
      </c>
    </row>
    <row r="9" spans="1:19" s="58" customFormat="1" ht="15" x14ac:dyDescent="0.25">
      <c r="A9" s="57">
        <v>2015</v>
      </c>
      <c r="B9" s="57"/>
      <c r="D9" s="59"/>
      <c r="E9" s="57"/>
      <c r="F9" s="59"/>
      <c r="H9" s="59" t="s">
        <v>351</v>
      </c>
      <c r="I9" s="60">
        <f>SUBTOTAL(9,I8:I8)</f>
        <v>5914129.1545446534</v>
      </c>
      <c r="J9" s="60"/>
      <c r="K9" s="60"/>
      <c r="L9" s="60">
        <f>SUBTOTAL(9,L8:L8)</f>
        <v>5914129.1545446534</v>
      </c>
      <c r="M9" s="60">
        <f>SUBTOTAL(9,M8:M8)</f>
        <v>123427.87545534692</v>
      </c>
      <c r="N9" s="60">
        <f>SUBTOTAL(9,N8:N8)</f>
        <v>6037557.0300000003</v>
      </c>
      <c r="O9" s="136"/>
      <c r="P9" s="60">
        <f>SUBTOTAL(9,P8:P8)</f>
        <v>0</v>
      </c>
      <c r="Q9" s="61"/>
      <c r="R9" s="60">
        <f>SUBTOTAL(9,R8:R8)</f>
        <v>0</v>
      </c>
      <c r="S9" s="60">
        <f>SUBTOTAL(9,S8:S8)</f>
        <v>6037557.0300000003</v>
      </c>
    </row>
    <row r="10" spans="1:19" s="31" customFormat="1" x14ac:dyDescent="0.2">
      <c r="A10" s="44">
        <v>2016</v>
      </c>
      <c r="B10" s="44"/>
      <c r="C10" s="45"/>
      <c r="D10" s="46"/>
      <c r="E10" s="71"/>
      <c r="F10" s="45"/>
      <c r="G10" s="45"/>
      <c r="H10" s="45"/>
      <c r="I10" s="47">
        <v>0</v>
      </c>
      <c r="J10" s="47"/>
      <c r="K10" s="48"/>
      <c r="L10" s="47">
        <f>I10*K10</f>
        <v>0</v>
      </c>
      <c r="M10" s="47">
        <v>0</v>
      </c>
      <c r="N10" s="47">
        <f>L10+M10</f>
        <v>0</v>
      </c>
      <c r="O10" s="130">
        <v>0</v>
      </c>
      <c r="P10" s="47">
        <f>N10*O10</f>
        <v>0</v>
      </c>
      <c r="Q10" s="135"/>
      <c r="R10" s="47">
        <v>0</v>
      </c>
      <c r="S10" s="47">
        <f>N10-P10-R10</f>
        <v>0</v>
      </c>
    </row>
    <row r="11" spans="1:19" s="58" customFormat="1" ht="15" x14ac:dyDescent="0.25">
      <c r="A11" s="57">
        <v>2016</v>
      </c>
      <c r="B11" s="57"/>
      <c r="D11" s="59"/>
      <c r="E11" s="57"/>
      <c r="F11" s="59"/>
      <c r="H11" s="59" t="s">
        <v>351</v>
      </c>
      <c r="I11" s="60">
        <f>SUBTOTAL(9,I10:I10)</f>
        <v>0</v>
      </c>
      <c r="J11" s="60"/>
      <c r="K11" s="60"/>
      <c r="L11" s="60">
        <f>SUBTOTAL(9,L10:L10)</f>
        <v>0</v>
      </c>
      <c r="M11" s="60">
        <f>SUBTOTAL(9,M10:M10)</f>
        <v>0</v>
      </c>
      <c r="N11" s="60">
        <f>SUBTOTAL(9,N10:N10)</f>
        <v>0</v>
      </c>
      <c r="O11" s="136"/>
      <c r="P11" s="60">
        <f>SUBTOTAL(9,P10:P10)</f>
        <v>0</v>
      </c>
      <c r="Q11" s="61"/>
      <c r="R11" s="60">
        <f>SUBTOTAL(9,R10:R10)</f>
        <v>0</v>
      </c>
      <c r="S11" s="60">
        <f>SUBTOTAL(9,S10:S10)</f>
        <v>0</v>
      </c>
    </row>
    <row r="12" spans="1:19" s="31" customFormat="1" x14ac:dyDescent="0.2">
      <c r="A12" s="44">
        <v>2017</v>
      </c>
      <c r="B12" s="44"/>
      <c r="C12" s="45"/>
      <c r="D12" s="46"/>
      <c r="E12" s="71"/>
      <c r="F12" s="45"/>
      <c r="G12" s="45"/>
      <c r="H12" s="45"/>
      <c r="I12" s="47">
        <v>0</v>
      </c>
      <c r="J12" s="47"/>
      <c r="K12" s="48"/>
      <c r="L12" s="47">
        <f>I12*K12</f>
        <v>0</v>
      </c>
      <c r="M12" s="47">
        <v>0</v>
      </c>
      <c r="N12" s="47">
        <f>L12+M12</f>
        <v>0</v>
      </c>
      <c r="O12" s="130">
        <v>0</v>
      </c>
      <c r="P12" s="47">
        <f>N12*O12</f>
        <v>0</v>
      </c>
      <c r="Q12" s="135"/>
      <c r="R12" s="47">
        <v>0</v>
      </c>
      <c r="S12" s="47">
        <f>N12-P12-R12</f>
        <v>0</v>
      </c>
    </row>
    <row r="13" spans="1:19" s="58" customFormat="1" ht="15" x14ac:dyDescent="0.25">
      <c r="A13" s="57">
        <v>2017</v>
      </c>
      <c r="B13" s="57"/>
      <c r="D13" s="59"/>
      <c r="E13" s="57"/>
      <c r="F13" s="59"/>
      <c r="H13" s="59" t="s">
        <v>351</v>
      </c>
      <c r="I13" s="60">
        <f>SUBTOTAL(9,I12:I12)</f>
        <v>0</v>
      </c>
      <c r="J13" s="60"/>
      <c r="K13" s="60"/>
      <c r="L13" s="60">
        <f>SUBTOTAL(9,L12:L12)</f>
        <v>0</v>
      </c>
      <c r="M13" s="60">
        <f>SUBTOTAL(9,M12:M12)</f>
        <v>0</v>
      </c>
      <c r="N13" s="60">
        <f>SUBTOTAL(9,N12:N12)</f>
        <v>0</v>
      </c>
      <c r="O13" s="136"/>
      <c r="P13" s="60">
        <f>SUBTOTAL(9,P12:P12)</f>
        <v>0</v>
      </c>
      <c r="Q13" s="61"/>
      <c r="R13" s="60">
        <f>SUBTOTAL(9,R12:R12)</f>
        <v>0</v>
      </c>
      <c r="S13" s="60">
        <f>SUBTOTAL(9,S12:S12)</f>
        <v>0</v>
      </c>
    </row>
    <row r="14" spans="1:19" s="31" customFormat="1" x14ac:dyDescent="0.2">
      <c r="A14" s="44">
        <v>2018</v>
      </c>
      <c r="B14" s="44"/>
      <c r="C14" s="45"/>
      <c r="D14" s="46"/>
      <c r="E14" s="71"/>
      <c r="F14" s="45"/>
      <c r="G14" s="45"/>
      <c r="H14" s="45"/>
      <c r="I14" s="47">
        <v>0</v>
      </c>
      <c r="J14" s="47"/>
      <c r="K14" s="48"/>
      <c r="L14" s="47">
        <f>I14*K14</f>
        <v>0</v>
      </c>
      <c r="M14" s="47">
        <v>0</v>
      </c>
      <c r="N14" s="47">
        <f>L14+M14</f>
        <v>0</v>
      </c>
      <c r="O14" s="130">
        <v>0</v>
      </c>
      <c r="P14" s="47">
        <f>N14*O14</f>
        <v>0</v>
      </c>
      <c r="Q14" s="135"/>
      <c r="R14" s="47">
        <v>0</v>
      </c>
      <c r="S14" s="47">
        <f>N14-P14-R14</f>
        <v>0</v>
      </c>
    </row>
    <row r="15" spans="1:19" s="58" customFormat="1" ht="15" x14ac:dyDescent="0.25">
      <c r="A15" s="57">
        <v>2018</v>
      </c>
      <c r="B15" s="57"/>
      <c r="D15" s="59"/>
      <c r="E15" s="57"/>
      <c r="F15" s="59"/>
      <c r="H15" s="59" t="s">
        <v>351</v>
      </c>
      <c r="I15" s="60">
        <f>SUBTOTAL(9,I14:I14)</f>
        <v>0</v>
      </c>
      <c r="J15" s="60"/>
      <c r="K15" s="60"/>
      <c r="L15" s="60">
        <f>SUBTOTAL(9,L14:L14)</f>
        <v>0</v>
      </c>
      <c r="M15" s="60">
        <f>SUBTOTAL(9,M14:M14)</f>
        <v>0</v>
      </c>
      <c r="N15" s="60">
        <f>SUBTOTAL(9,N14:N14)</f>
        <v>0</v>
      </c>
      <c r="O15" s="136"/>
      <c r="P15" s="60">
        <f>SUBTOTAL(9,P14:P14)</f>
        <v>0</v>
      </c>
      <c r="Q15" s="61"/>
      <c r="R15" s="60">
        <f>SUBTOTAL(9,R14:R14)</f>
        <v>0</v>
      </c>
      <c r="S15" s="60">
        <f>SUBTOTAL(9,S14:S14)</f>
        <v>0</v>
      </c>
    </row>
    <row r="16" spans="1:19" s="31" customFormat="1" x14ac:dyDescent="0.2">
      <c r="A16" s="44">
        <v>2019</v>
      </c>
      <c r="B16" s="71" t="s">
        <v>559</v>
      </c>
      <c r="C16" s="45" t="s">
        <v>860</v>
      </c>
      <c r="D16" s="46"/>
      <c r="E16" s="71" t="s">
        <v>742</v>
      </c>
      <c r="F16" s="45" t="s">
        <v>560</v>
      </c>
      <c r="G16" s="45" t="s">
        <v>561</v>
      </c>
      <c r="H16" s="45" t="s">
        <v>562</v>
      </c>
      <c r="I16" s="47"/>
      <c r="J16" s="47"/>
      <c r="K16" s="137"/>
      <c r="L16" s="47"/>
      <c r="M16" s="47"/>
      <c r="N16" s="47">
        <f>P16+S16</f>
        <v>9997348.2555555552</v>
      </c>
      <c r="O16" s="130">
        <v>0.1</v>
      </c>
      <c r="P16" s="47">
        <f>(S16/0.9)*0.1</f>
        <v>999734.82555555552</v>
      </c>
      <c r="Q16" s="138"/>
      <c r="R16" s="47"/>
      <c r="S16" s="47">
        <v>8997613.4299999997</v>
      </c>
    </row>
    <row r="17" spans="1:20" s="31" customFormat="1" x14ac:dyDescent="0.2">
      <c r="A17" s="44">
        <v>2019</v>
      </c>
      <c r="B17" s="71" t="s">
        <v>563</v>
      </c>
      <c r="C17" s="66" t="s">
        <v>564</v>
      </c>
      <c r="D17" s="46"/>
      <c r="E17" s="71" t="s">
        <v>742</v>
      </c>
      <c r="F17" s="45" t="s">
        <v>565</v>
      </c>
      <c r="G17" s="45" t="s">
        <v>566</v>
      </c>
      <c r="H17" s="45"/>
      <c r="I17" s="73"/>
      <c r="J17" s="73"/>
      <c r="K17" s="74"/>
      <c r="L17" s="73"/>
      <c r="M17" s="73"/>
      <c r="N17" s="47">
        <v>8491589</v>
      </c>
      <c r="O17" s="130">
        <v>0.72</v>
      </c>
      <c r="P17" s="47">
        <f>(S17/0.95)*0.05</f>
        <v>126796.75684210526</v>
      </c>
      <c r="Q17" s="135"/>
      <c r="R17" s="47"/>
      <c r="S17" s="47">
        <v>2409138.38</v>
      </c>
    </row>
    <row r="18" spans="1:20" s="146" customFormat="1" x14ac:dyDescent="0.2">
      <c r="A18" s="44">
        <v>2019</v>
      </c>
      <c r="B18" s="139" t="s">
        <v>567</v>
      </c>
      <c r="C18" s="140" t="s">
        <v>568</v>
      </c>
      <c r="D18" s="141"/>
      <c r="E18" s="139" t="s">
        <v>742</v>
      </c>
      <c r="F18" s="142" t="s">
        <v>569</v>
      </c>
      <c r="G18" s="142" t="s">
        <v>570</v>
      </c>
      <c r="H18" s="142"/>
      <c r="I18" s="47"/>
      <c r="J18" s="47"/>
      <c r="K18" s="143"/>
      <c r="L18" s="47"/>
      <c r="M18" s="47"/>
      <c r="N18" s="47">
        <f t="shared" ref="N18" si="0">P18+S18</f>
        <v>249330.34736842103</v>
      </c>
      <c r="O18" s="144">
        <v>0.05</v>
      </c>
      <c r="P18" s="47">
        <f>(S18/0.95)*0.05</f>
        <v>12466.517368421053</v>
      </c>
      <c r="Q18" s="145"/>
      <c r="R18" s="47"/>
      <c r="S18" s="47">
        <v>236863.83</v>
      </c>
    </row>
    <row r="19" spans="1:20" s="58" customFormat="1" ht="15" x14ac:dyDescent="0.25">
      <c r="A19" s="57">
        <v>2019</v>
      </c>
      <c r="B19" s="57"/>
      <c r="D19" s="59"/>
      <c r="E19" s="57"/>
      <c r="F19" s="59"/>
      <c r="H19" s="59" t="s">
        <v>351</v>
      </c>
      <c r="I19" s="60">
        <f>SUM(I16:I18)</f>
        <v>0</v>
      </c>
      <c r="J19" s="60"/>
      <c r="K19" s="60"/>
      <c r="L19" s="60">
        <f>SUM(L16:L18)</f>
        <v>0</v>
      </c>
      <c r="M19" s="60">
        <f>SUM(M16:M18)</f>
        <v>0</v>
      </c>
      <c r="N19" s="60">
        <f>SUM(N16:N18)</f>
        <v>18738267.602923974</v>
      </c>
      <c r="O19" s="136"/>
      <c r="P19" s="60">
        <f>SUM(P16:P18)</f>
        <v>1138998.0997660817</v>
      </c>
      <c r="Q19" s="61"/>
      <c r="R19" s="60">
        <f>SUM(R16:R18)</f>
        <v>0</v>
      </c>
      <c r="S19" s="60">
        <f>SUM(S16:S18)</f>
        <v>11643615.639999999</v>
      </c>
    </row>
    <row r="20" spans="1:20" s="31" customFormat="1" ht="13.5" customHeight="1" x14ac:dyDescent="0.2">
      <c r="A20" s="44">
        <v>2020</v>
      </c>
      <c r="B20" s="71" t="s">
        <v>861</v>
      </c>
      <c r="C20" s="66" t="s">
        <v>862</v>
      </c>
      <c r="D20" s="46"/>
      <c r="E20" s="71" t="s">
        <v>742</v>
      </c>
      <c r="F20" s="147" t="s">
        <v>571</v>
      </c>
      <c r="G20" s="45" t="s">
        <v>863</v>
      </c>
      <c r="H20" s="45"/>
      <c r="I20" s="47"/>
      <c r="J20" s="47"/>
      <c r="K20" s="137"/>
      <c r="L20" s="47"/>
      <c r="M20" s="47"/>
      <c r="N20" s="47">
        <f>P20+S20</f>
        <v>443351.16</v>
      </c>
      <c r="O20" s="130">
        <v>0.5</v>
      </c>
      <c r="P20" s="47">
        <f>(S20/0.5)*0.5</f>
        <v>221675.58</v>
      </c>
      <c r="Q20" s="148"/>
      <c r="R20" s="47"/>
      <c r="S20" s="47">
        <v>221675.58</v>
      </c>
    </row>
    <row r="21" spans="1:20" s="31" customFormat="1" x14ac:dyDescent="0.2">
      <c r="A21" s="44">
        <v>2020</v>
      </c>
      <c r="B21" s="71" t="s">
        <v>572</v>
      </c>
      <c r="C21" s="66" t="s">
        <v>573</v>
      </c>
      <c r="D21" s="46"/>
      <c r="E21" s="71" t="s">
        <v>742</v>
      </c>
      <c r="F21" s="55" t="s">
        <v>574</v>
      </c>
      <c r="G21" s="45"/>
      <c r="H21" s="45"/>
      <c r="I21" s="47"/>
      <c r="J21" s="47"/>
      <c r="K21" s="137"/>
      <c r="L21" s="47"/>
      <c r="M21" s="47"/>
      <c r="N21" s="47">
        <f t="shared" ref="N21" si="1">P21+S21</f>
        <v>2262570.7684210525</v>
      </c>
      <c r="O21" s="130">
        <v>0.05</v>
      </c>
      <c r="P21" s="47">
        <f t="shared" ref="P21" si="2">(S21/0.95)*0.05</f>
        <v>113128.53842105262</v>
      </c>
      <c r="Q21" s="148"/>
      <c r="R21" s="47"/>
      <c r="S21" s="47">
        <v>2149442.23</v>
      </c>
    </row>
    <row r="22" spans="1:20" s="58" customFormat="1" ht="15" x14ac:dyDescent="0.25">
      <c r="A22" s="57">
        <v>2020</v>
      </c>
      <c r="B22" s="57"/>
      <c r="D22" s="59"/>
      <c r="E22" s="57"/>
      <c r="F22" s="59"/>
      <c r="H22" s="59" t="s">
        <v>351</v>
      </c>
      <c r="I22" s="60">
        <f>SUBTOTAL(9,I20:I21)</f>
        <v>0</v>
      </c>
      <c r="J22" s="60"/>
      <c r="K22" s="60"/>
      <c r="L22" s="60">
        <f>SUBTOTAL(9,L20:L21)</f>
        <v>0</v>
      </c>
      <c r="M22" s="60">
        <f>SUBTOTAL(9,M20:M21)</f>
        <v>0</v>
      </c>
      <c r="N22" s="60">
        <f>SUBTOTAL(9,N20:N21)</f>
        <v>2705921.9284210526</v>
      </c>
      <c r="O22" s="136"/>
      <c r="P22" s="60">
        <f>SUBTOTAL(9,P20:P21)</f>
        <v>334804.11842105258</v>
      </c>
      <c r="Q22" s="61"/>
      <c r="R22" s="60">
        <f>SUBTOTAL(9,R20:R20)</f>
        <v>0</v>
      </c>
      <c r="S22" s="60">
        <f>SUBTOTAL(9,S20:S21)</f>
        <v>2371117.81</v>
      </c>
    </row>
    <row r="23" spans="1:20" s="31" customFormat="1" ht="13.5" customHeight="1" x14ac:dyDescent="0.2">
      <c r="A23" s="44">
        <v>2021</v>
      </c>
      <c r="B23" s="71" t="s">
        <v>575</v>
      </c>
      <c r="C23" s="66" t="s">
        <v>576</v>
      </c>
      <c r="D23" s="46"/>
      <c r="E23" s="71" t="s">
        <v>742</v>
      </c>
      <c r="F23" s="55" t="s">
        <v>577</v>
      </c>
      <c r="G23" s="45" t="s">
        <v>864</v>
      </c>
      <c r="H23" s="45"/>
      <c r="I23" s="73" t="s">
        <v>354</v>
      </c>
      <c r="J23" s="73"/>
      <c r="K23" s="74" t="s">
        <v>354</v>
      </c>
      <c r="L23" s="73" t="s">
        <v>354</v>
      </c>
      <c r="M23" s="73" t="s">
        <v>354</v>
      </c>
      <c r="N23" s="47">
        <v>496298</v>
      </c>
      <c r="O23" s="130">
        <v>0.05</v>
      </c>
      <c r="P23" s="47">
        <f t="shared" ref="P23:P24" si="3">(S23/0.95)*0.05</f>
        <v>24814.888421052634</v>
      </c>
      <c r="Q23" s="135"/>
      <c r="R23" s="47"/>
      <c r="S23" s="47">
        <v>471482.88</v>
      </c>
    </row>
    <row r="24" spans="1:20" s="31" customFormat="1" x14ac:dyDescent="0.2">
      <c r="A24" s="44">
        <v>2021</v>
      </c>
      <c r="B24" s="71" t="s">
        <v>578</v>
      </c>
      <c r="C24" s="66" t="s">
        <v>579</v>
      </c>
      <c r="D24" s="46">
        <v>2.677</v>
      </c>
      <c r="E24" s="71" t="s">
        <v>742</v>
      </c>
      <c r="F24" s="55" t="s">
        <v>580</v>
      </c>
      <c r="G24" s="149" t="s">
        <v>865</v>
      </c>
      <c r="H24" s="45"/>
      <c r="I24" s="73" t="s">
        <v>354</v>
      </c>
      <c r="J24" s="73"/>
      <c r="K24" s="74" t="s">
        <v>354</v>
      </c>
      <c r="L24" s="73" t="s">
        <v>354</v>
      </c>
      <c r="M24" s="73" t="s">
        <v>354</v>
      </c>
      <c r="N24" s="73">
        <f>S24/(1-O24)</f>
        <v>2639318.3789473684</v>
      </c>
      <c r="O24" s="130">
        <v>0.05</v>
      </c>
      <c r="P24" s="47">
        <f t="shared" si="3"/>
        <v>131965.91894736842</v>
      </c>
      <c r="Q24" s="135"/>
      <c r="R24" s="47"/>
      <c r="S24" s="47">
        <v>2507352.46</v>
      </c>
    </row>
    <row r="25" spans="1:20" s="58" customFormat="1" ht="15" x14ac:dyDescent="0.25">
      <c r="A25" s="57">
        <v>2021</v>
      </c>
      <c r="B25" s="150"/>
      <c r="D25" s="59"/>
      <c r="E25" s="57"/>
      <c r="F25" s="59"/>
      <c r="H25" s="59" t="s">
        <v>351</v>
      </c>
      <c r="I25" s="60">
        <f>SUBTOTAL(9,I23:I24)</f>
        <v>0</v>
      </c>
      <c r="J25" s="60"/>
      <c r="K25" s="60"/>
      <c r="L25" s="60">
        <f>SUBTOTAL(9,L23:L24)</f>
        <v>0</v>
      </c>
      <c r="M25" s="60">
        <f>SUBTOTAL(9,M23:M24)</f>
        <v>0</v>
      </c>
      <c r="N25" s="60">
        <f>SUBTOTAL(9,N23:N24)</f>
        <v>3135616.3789473684</v>
      </c>
      <c r="O25" s="136"/>
      <c r="P25" s="60">
        <f>SUBTOTAL(9,P23:P24)</f>
        <v>156780.80736842105</v>
      </c>
      <c r="Q25" s="61"/>
      <c r="R25" s="60">
        <f>SUBTOTAL(9,R23:R24)</f>
        <v>0</v>
      </c>
      <c r="S25" s="60">
        <f>SUBTOTAL(9,S23:S24)</f>
        <v>2978835.34</v>
      </c>
    </row>
    <row r="26" spans="1:20" s="31" customFormat="1" x14ac:dyDescent="0.2">
      <c r="A26" s="139">
        <v>2023</v>
      </c>
      <c r="B26" s="139"/>
      <c r="C26" s="45" t="s">
        <v>866</v>
      </c>
      <c r="D26" s="46"/>
      <c r="E26" s="71" t="s">
        <v>742</v>
      </c>
      <c r="F26" s="55" t="s">
        <v>387</v>
      </c>
      <c r="H26" s="32"/>
      <c r="I26" s="73" t="s">
        <v>354</v>
      </c>
      <c r="J26" s="73"/>
      <c r="K26" s="74" t="s">
        <v>354</v>
      </c>
      <c r="L26" s="73" t="s">
        <v>354</v>
      </c>
      <c r="M26" s="73" t="s">
        <v>354</v>
      </c>
      <c r="N26" s="47">
        <v>18696.849999999999</v>
      </c>
      <c r="O26" s="130">
        <v>0.5</v>
      </c>
      <c r="P26" s="47">
        <f t="shared" ref="P26:P30" si="4">N26*O26</f>
        <v>9348.4249999999993</v>
      </c>
      <c r="Q26" s="52"/>
      <c r="R26" s="52"/>
      <c r="S26" s="47">
        <v>9348.43</v>
      </c>
      <c r="T26" s="52"/>
    </row>
    <row r="27" spans="1:20" s="31" customFormat="1" x14ac:dyDescent="0.2">
      <c r="A27" s="139">
        <v>2023</v>
      </c>
      <c r="B27" s="139"/>
      <c r="C27" s="45" t="s">
        <v>867</v>
      </c>
      <c r="D27" s="46"/>
      <c r="E27" s="71" t="s">
        <v>742</v>
      </c>
      <c r="F27" s="55" t="s">
        <v>868</v>
      </c>
      <c r="H27" s="32"/>
      <c r="I27" s="73" t="s">
        <v>354</v>
      </c>
      <c r="J27" s="73"/>
      <c r="K27" s="74" t="s">
        <v>354</v>
      </c>
      <c r="L27" s="73" t="s">
        <v>354</v>
      </c>
      <c r="M27" s="73" t="s">
        <v>354</v>
      </c>
      <c r="N27" s="47">
        <v>207271.44</v>
      </c>
      <c r="O27" s="130">
        <v>0.74741686553632281</v>
      </c>
      <c r="P27" s="47">
        <f t="shared" si="4"/>
        <v>154918.17000000001</v>
      </c>
      <c r="Q27" s="52"/>
      <c r="R27" s="52"/>
      <c r="S27" s="47">
        <v>154918.17000000001</v>
      </c>
    </row>
    <row r="28" spans="1:20" s="31" customFormat="1" x14ac:dyDescent="0.2">
      <c r="A28" s="44">
        <v>2023</v>
      </c>
      <c r="B28" s="71" t="s">
        <v>869</v>
      </c>
      <c r="C28" s="66" t="s">
        <v>870</v>
      </c>
      <c r="D28" s="54" t="s">
        <v>871</v>
      </c>
      <c r="E28" s="71" t="s">
        <v>742</v>
      </c>
      <c r="F28" s="55" t="s">
        <v>581</v>
      </c>
      <c r="G28" s="45" t="s">
        <v>872</v>
      </c>
      <c r="H28" s="45"/>
      <c r="I28" s="73" t="s">
        <v>354</v>
      </c>
      <c r="J28" s="73"/>
      <c r="K28" s="74" t="s">
        <v>354</v>
      </c>
      <c r="L28" s="73" t="s">
        <v>354</v>
      </c>
      <c r="M28" s="73" t="s">
        <v>354</v>
      </c>
      <c r="N28" s="47">
        <v>8570124.5099999998</v>
      </c>
      <c r="O28" s="130">
        <f>S28/N28</f>
        <v>0.89636323265039708</v>
      </c>
      <c r="P28" s="47">
        <f t="shared" si="4"/>
        <v>7681944.5099999998</v>
      </c>
      <c r="Q28" s="135"/>
      <c r="R28" s="47"/>
      <c r="S28" s="47">
        <v>7681944.5099999998</v>
      </c>
    </row>
    <row r="29" spans="1:20" s="58" customFormat="1" ht="15" x14ac:dyDescent="0.25">
      <c r="A29" s="57">
        <v>2023</v>
      </c>
      <c r="B29" s="57"/>
      <c r="D29" s="59"/>
      <c r="E29" s="57"/>
      <c r="F29" s="59"/>
      <c r="H29" s="59" t="s">
        <v>351</v>
      </c>
      <c r="I29" s="60">
        <f>SUBTOTAL(9,I26:I28)</f>
        <v>0</v>
      </c>
      <c r="J29" s="60"/>
      <c r="K29" s="60"/>
      <c r="L29" s="60">
        <f>SUBTOTAL(9,L25:L28)</f>
        <v>0</v>
      </c>
      <c r="M29" s="60">
        <f>SUBTOTAL(9,M26:M28)</f>
        <v>0</v>
      </c>
      <c r="N29" s="60">
        <f>SUBTOTAL(9,N26:N28)</f>
        <v>8796092.7999999989</v>
      </c>
      <c r="O29" s="136"/>
      <c r="P29" s="60">
        <f>SUBTOTAL(9,P26:P28)</f>
        <v>7846211.1049999995</v>
      </c>
      <c r="Q29" s="61"/>
      <c r="R29" s="60">
        <f>SUBTOTAL(9,R26:R28)</f>
        <v>0</v>
      </c>
      <c r="S29" s="60">
        <f>SUBTOTAL(9,S26:S28)</f>
        <v>7846211.1099999994</v>
      </c>
    </row>
    <row r="30" spans="1:20" s="31" customFormat="1" x14ac:dyDescent="0.2">
      <c r="A30" s="44">
        <v>2024</v>
      </c>
      <c r="B30" s="71"/>
      <c r="C30" s="66" t="s">
        <v>927</v>
      </c>
      <c r="D30" s="430"/>
      <c r="E30" s="71"/>
      <c r="F30" s="55" t="s">
        <v>928</v>
      </c>
      <c r="G30" s="45"/>
      <c r="H30" s="45"/>
      <c r="I30" s="47"/>
      <c r="J30" s="47"/>
      <c r="K30" s="48"/>
      <c r="L30" s="47"/>
      <c r="M30" s="47"/>
      <c r="N30" s="47">
        <v>898808.82</v>
      </c>
      <c r="O30" s="130">
        <v>0.33300000000000002</v>
      </c>
      <c r="P30" s="47">
        <f t="shared" si="4"/>
        <v>299303.33705999999</v>
      </c>
      <c r="Q30" s="135"/>
      <c r="R30" s="47"/>
      <c r="S30" s="47">
        <v>299303.34000000003</v>
      </c>
    </row>
    <row r="31" spans="1:20" s="58" customFormat="1" ht="15" x14ac:dyDescent="0.25">
      <c r="A31" s="57">
        <v>2024</v>
      </c>
      <c r="B31" s="57"/>
      <c r="D31" s="59"/>
      <c r="E31" s="57"/>
      <c r="F31" s="59"/>
      <c r="H31" s="59" t="s">
        <v>351</v>
      </c>
      <c r="I31" s="60">
        <f>SUBTOTAL(9,I30:I30)</f>
        <v>0</v>
      </c>
      <c r="J31" s="60"/>
      <c r="K31" s="60"/>
      <c r="L31" s="60">
        <f>SUBTOTAL(9,L30:L30)</f>
        <v>0</v>
      </c>
      <c r="M31" s="60">
        <f>SUBTOTAL(9,M30:M30)</f>
        <v>0</v>
      </c>
      <c r="N31" s="60">
        <f>SUBTOTAL(9,N30:N30)</f>
        <v>898808.82</v>
      </c>
      <c r="O31" s="136"/>
      <c r="P31" s="60">
        <f>SUBTOTAL(9,P30:P30)</f>
        <v>299303.33705999999</v>
      </c>
      <c r="Q31" s="61"/>
      <c r="R31" s="60">
        <f>SUBTOTAL(9,R30:R30)</f>
        <v>0</v>
      </c>
      <c r="S31" s="60">
        <f>SUBTOTAL(9,S30:S30)</f>
        <v>299303.34000000003</v>
      </c>
    </row>
    <row r="32" spans="1:20" s="31" customFormat="1" x14ac:dyDescent="0.2">
      <c r="A32" s="44" t="s">
        <v>280</v>
      </c>
      <c r="B32" s="44" t="s">
        <v>760</v>
      </c>
      <c r="C32" s="45" t="s">
        <v>779</v>
      </c>
      <c r="D32" s="46" t="s">
        <v>780</v>
      </c>
      <c r="E32" s="71" t="s">
        <v>747</v>
      </c>
      <c r="F32" s="55" t="s">
        <v>873</v>
      </c>
      <c r="G32" s="45"/>
      <c r="H32" s="45"/>
      <c r="I32" s="73" t="s">
        <v>354</v>
      </c>
      <c r="J32" s="47">
        <v>3170000</v>
      </c>
      <c r="K32" s="434">
        <f>VLOOKUP(A32,'Escalation Factors'!$C$18:$H$31,6,FALSE)</f>
        <v>1.04817</v>
      </c>
      <c r="L32" s="47">
        <f>J32*K32</f>
        <v>3322698.9000000004</v>
      </c>
      <c r="M32" s="47">
        <f t="shared" ref="M32:M40" si="5">L32*$M$3</f>
        <v>69344.726043000002</v>
      </c>
      <c r="N32" s="47">
        <f t="shared" ref="N32:N40" si="6">L32+M32</f>
        <v>3392043.6260430003</v>
      </c>
      <c r="O32" s="130">
        <f>1-0.17</f>
        <v>0.83</v>
      </c>
      <c r="P32" s="78">
        <f t="shared" ref="P32:P41" si="7">N32*O32</f>
        <v>2815396.2096156902</v>
      </c>
      <c r="Q32" s="135">
        <f>$Q$3</f>
        <v>0.23407892834770871</v>
      </c>
      <c r="R32" s="47">
        <f>(N32-P32)*Q32</f>
        <v>134981.00927177968</v>
      </c>
      <c r="S32" s="47">
        <f>N32-P32-R32</f>
        <v>441666.40715553041</v>
      </c>
    </row>
    <row r="33" spans="1:19" s="31" customFormat="1" x14ac:dyDescent="0.2">
      <c r="A33" s="44" t="s">
        <v>280</v>
      </c>
      <c r="B33" s="44" t="s">
        <v>586</v>
      </c>
      <c r="C33" s="45" t="s">
        <v>587</v>
      </c>
      <c r="D33" s="54" t="s">
        <v>874</v>
      </c>
      <c r="E33" s="71" t="s">
        <v>742</v>
      </c>
      <c r="F33" s="55" t="s">
        <v>588</v>
      </c>
      <c r="G33" s="45" t="s">
        <v>932</v>
      </c>
      <c r="H33" s="45" t="s">
        <v>585</v>
      </c>
      <c r="I33" s="73" t="s">
        <v>354</v>
      </c>
      <c r="J33" s="47">
        <v>60383</v>
      </c>
      <c r="K33" s="434">
        <f>VLOOKUP(A33,'Escalation Factors'!$C$18:$H$31,6,FALSE)</f>
        <v>1.04817</v>
      </c>
      <c r="L33" s="47">
        <f>J33*K33</f>
        <v>63291.649110000006</v>
      </c>
      <c r="M33" s="47">
        <f t="shared" ref="M33" si="8">L33*$M$3</f>
        <v>1320.8967169257</v>
      </c>
      <c r="N33" s="47">
        <f t="shared" ref="N33" si="9">L33+M33</f>
        <v>64612.545826925707</v>
      </c>
      <c r="O33" s="130">
        <v>0.9</v>
      </c>
      <c r="P33" s="78">
        <f t="shared" si="7"/>
        <v>58151.291244233136</v>
      </c>
      <c r="Q33" s="135">
        <f>$Q$3</f>
        <v>0.23407892834770871</v>
      </c>
      <c r="R33" s="47">
        <f t="shared" ref="R33:R41" si="10">(N33-P33)*Q33</f>
        <v>1512.4435484983987</v>
      </c>
      <c r="S33" s="47">
        <f t="shared" ref="S33:S41" si="11">N33-P33-R33</f>
        <v>4948.811034194172</v>
      </c>
    </row>
    <row r="34" spans="1:19" s="31" customFormat="1" x14ac:dyDescent="0.2">
      <c r="A34" s="44" t="s">
        <v>280</v>
      </c>
      <c r="B34" s="44" t="s">
        <v>589</v>
      </c>
      <c r="C34" s="45" t="s">
        <v>590</v>
      </c>
      <c r="D34" s="54" t="s">
        <v>591</v>
      </c>
      <c r="E34" s="151" t="s">
        <v>742</v>
      </c>
      <c r="F34" s="55" t="s">
        <v>592</v>
      </c>
      <c r="G34" s="45"/>
      <c r="H34" s="45" t="s">
        <v>585</v>
      </c>
      <c r="I34" s="47">
        <v>555000</v>
      </c>
      <c r="J34" s="47"/>
      <c r="K34" s="48">
        <f>VLOOKUP(A34,'Escalation Factors'!$C$18:$D$28,2,FALSE)</f>
        <v>1.1258312770916121</v>
      </c>
      <c r="L34" s="47">
        <f t="shared" ref="L34" si="12">I34*K34</f>
        <v>624836.35878584476</v>
      </c>
      <c r="M34" s="47">
        <f t="shared" si="5"/>
        <v>13040.33480786058</v>
      </c>
      <c r="N34" s="47">
        <f t="shared" si="6"/>
        <v>637876.69359370531</v>
      </c>
      <c r="O34" s="130">
        <v>1</v>
      </c>
      <c r="P34" s="78">
        <f t="shared" si="7"/>
        <v>637876.69359370531</v>
      </c>
      <c r="Q34" s="152">
        <v>0</v>
      </c>
      <c r="R34" s="47">
        <f t="shared" si="10"/>
        <v>0</v>
      </c>
      <c r="S34" s="47">
        <f t="shared" si="11"/>
        <v>0</v>
      </c>
    </row>
    <row r="35" spans="1:19" s="31" customFormat="1" x14ac:dyDescent="0.2">
      <c r="A35" s="44" t="s">
        <v>280</v>
      </c>
      <c r="B35" s="180" t="s">
        <v>609</v>
      </c>
      <c r="C35" s="66" t="s">
        <v>610</v>
      </c>
      <c r="D35" s="46">
        <v>2.6739999999999999</v>
      </c>
      <c r="E35" s="71" t="s">
        <v>742</v>
      </c>
      <c r="F35" s="55" t="s">
        <v>611</v>
      </c>
      <c r="G35" s="45"/>
      <c r="H35" s="45"/>
      <c r="I35" s="73" t="s">
        <v>354</v>
      </c>
      <c r="J35" s="47">
        <v>3824806</v>
      </c>
      <c r="K35" s="434">
        <f>VLOOKUP(A35,'Escalation Factors'!$C$18:$H$31,6,FALSE)</f>
        <v>1.04817</v>
      </c>
      <c r="L35" s="47">
        <f t="shared" ref="L35:L40" si="13">J35*K35</f>
        <v>4009046.9050199999</v>
      </c>
      <c r="M35" s="47">
        <f t="shared" si="5"/>
        <v>83668.808907767394</v>
      </c>
      <c r="N35" s="47">
        <f t="shared" si="6"/>
        <v>4092715.7139277672</v>
      </c>
      <c r="O35" s="130">
        <v>0.5</v>
      </c>
      <c r="P35" s="78">
        <f t="shared" si="7"/>
        <v>2046357.8569638836</v>
      </c>
      <c r="Q35" s="135">
        <f t="shared" ref="Q35:Q66" si="14">$Q$3</f>
        <v>0.23407892834770871</v>
      </c>
      <c r="R35" s="47">
        <f t="shared" si="10"/>
        <v>479009.25417401968</v>
      </c>
      <c r="S35" s="47">
        <f t="shared" si="11"/>
        <v>1567348.6027898639</v>
      </c>
    </row>
    <row r="36" spans="1:19" s="31" customFormat="1" x14ac:dyDescent="0.2">
      <c r="A36" s="44" t="s">
        <v>280</v>
      </c>
      <c r="B36" s="180" t="s">
        <v>639</v>
      </c>
      <c r="C36" s="66" t="s">
        <v>640</v>
      </c>
      <c r="D36" s="46">
        <v>2.6749999999999998</v>
      </c>
      <c r="E36" s="71" t="s">
        <v>742</v>
      </c>
      <c r="F36" s="55" t="s">
        <v>641</v>
      </c>
      <c r="G36" s="149"/>
      <c r="H36" s="45"/>
      <c r="I36" s="73" t="s">
        <v>354</v>
      </c>
      <c r="J36" s="47">
        <v>1255000</v>
      </c>
      <c r="K36" s="434">
        <f>VLOOKUP(A36,'Escalation Factors'!$C$18:$H$31,6,FALSE)</f>
        <v>1.04817</v>
      </c>
      <c r="L36" s="47">
        <f t="shared" si="13"/>
        <v>1315453.3500000001</v>
      </c>
      <c r="M36" s="47">
        <f t="shared" si="5"/>
        <v>27453.511414500001</v>
      </c>
      <c r="N36" s="47">
        <f t="shared" si="6"/>
        <v>1342906.8614145</v>
      </c>
      <c r="O36" s="130">
        <f>1-0.95</f>
        <v>5.0000000000000044E-2</v>
      </c>
      <c r="P36" s="78">
        <f t="shared" si="7"/>
        <v>67145.343070725066</v>
      </c>
      <c r="Q36" s="135">
        <f>$Q$3</f>
        <v>0.23407892834770871</v>
      </c>
      <c r="R36" s="47">
        <f t="shared" si="10"/>
        <v>298628.88904115662</v>
      </c>
      <c r="S36" s="47">
        <f t="shared" si="11"/>
        <v>977132.62930261844</v>
      </c>
    </row>
    <row r="37" spans="1:19" s="31" customFormat="1" x14ac:dyDescent="0.2">
      <c r="A37" s="44" t="s">
        <v>280</v>
      </c>
      <c r="B37" s="180" t="s">
        <v>644</v>
      </c>
      <c r="C37" s="66" t="s">
        <v>645</v>
      </c>
      <c r="D37" s="54" t="s">
        <v>646</v>
      </c>
      <c r="E37" s="151" t="s">
        <v>742</v>
      </c>
      <c r="F37" s="55" t="s">
        <v>647</v>
      </c>
      <c r="G37" s="149"/>
      <c r="H37" s="45"/>
      <c r="I37" s="73" t="s">
        <v>354</v>
      </c>
      <c r="J37" s="47">
        <v>1711359</v>
      </c>
      <c r="K37" s="434">
        <f>VLOOKUP(A37,'Escalation Factors'!$C$18:$H$31,6,FALSE)</f>
        <v>1.04817</v>
      </c>
      <c r="L37" s="47">
        <f t="shared" si="13"/>
        <v>1793795.1630300002</v>
      </c>
      <c r="M37" s="47">
        <f t="shared" si="5"/>
        <v>37436.5050524361</v>
      </c>
      <c r="N37" s="47">
        <f t="shared" si="6"/>
        <v>1831231.6680824363</v>
      </c>
      <c r="O37" s="130">
        <f>1-0.95</f>
        <v>5.0000000000000044E-2</v>
      </c>
      <c r="P37" s="78">
        <f t="shared" si="7"/>
        <v>91561.583404121891</v>
      </c>
      <c r="Q37" s="135">
        <f>$Q$3</f>
        <v>0.23407892834770871</v>
      </c>
      <c r="R37" s="47">
        <f t="shared" si="10"/>
        <v>407220.10910006752</v>
      </c>
      <c r="S37" s="47">
        <f t="shared" si="11"/>
        <v>1332449.9755782469</v>
      </c>
    </row>
    <row r="38" spans="1:19" s="31" customFormat="1" x14ac:dyDescent="0.2">
      <c r="A38" s="44" t="s">
        <v>280</v>
      </c>
      <c r="B38" s="180" t="s">
        <v>648</v>
      </c>
      <c r="C38" s="66" t="s">
        <v>649</v>
      </c>
      <c r="D38" s="54" t="s">
        <v>650</v>
      </c>
      <c r="E38" s="151" t="s">
        <v>742</v>
      </c>
      <c r="F38" s="55" t="s">
        <v>651</v>
      </c>
      <c r="G38" s="153"/>
      <c r="H38" s="45"/>
      <c r="I38" s="73" t="s">
        <v>354</v>
      </c>
      <c r="J38" s="47">
        <v>406099</v>
      </c>
      <c r="K38" s="434">
        <f>VLOOKUP(A38,'Escalation Factors'!$C$18:$H$31,6,FALSE)</f>
        <v>1.04817</v>
      </c>
      <c r="L38" s="47">
        <f t="shared" si="13"/>
        <v>425660.78883000003</v>
      </c>
      <c r="M38" s="47">
        <f t="shared" si="5"/>
        <v>8883.5406628821002</v>
      </c>
      <c r="N38" s="47">
        <f t="shared" si="6"/>
        <v>434544.32949288213</v>
      </c>
      <c r="O38" s="130">
        <f>1-0.95</f>
        <v>5.0000000000000044E-2</v>
      </c>
      <c r="P38" s="78">
        <f t="shared" si="7"/>
        <v>21727.216474644127</v>
      </c>
      <c r="Q38" s="135">
        <f>$Q$3</f>
        <v>0.23407892834770871</v>
      </c>
      <c r="R38" s="47">
        <f t="shared" si="10"/>
        <v>96631.787418904103</v>
      </c>
      <c r="S38" s="47">
        <f t="shared" si="11"/>
        <v>316185.32559933385</v>
      </c>
    </row>
    <row r="39" spans="1:19" s="31" customFormat="1" x14ac:dyDescent="0.2">
      <c r="A39" s="44" t="s">
        <v>280</v>
      </c>
      <c r="B39" s="44" t="s">
        <v>664</v>
      </c>
      <c r="C39" s="45" t="s">
        <v>875</v>
      </c>
      <c r="D39" s="46">
        <v>2.9449999999999998</v>
      </c>
      <c r="E39" s="71" t="s">
        <v>747</v>
      </c>
      <c r="F39" s="55" t="s">
        <v>665</v>
      </c>
      <c r="G39" s="45"/>
      <c r="H39" s="45" t="s">
        <v>585</v>
      </c>
      <c r="I39" s="73" t="s">
        <v>354</v>
      </c>
      <c r="J39" s="47">
        <v>13920000</v>
      </c>
      <c r="K39" s="434">
        <f>VLOOKUP(A39,'Escalation Factors'!$C$18:$H$31,6,FALSE)</f>
        <v>1.04817</v>
      </c>
      <c r="L39" s="47">
        <f t="shared" si="13"/>
        <v>14590526.4</v>
      </c>
      <c r="M39" s="47">
        <f t="shared" si="5"/>
        <v>304504.28596800001</v>
      </c>
      <c r="N39" s="47">
        <f t="shared" si="6"/>
        <v>14895030.685968</v>
      </c>
      <c r="O39" s="130">
        <v>1</v>
      </c>
      <c r="P39" s="78">
        <f t="shared" si="7"/>
        <v>14895030.685968</v>
      </c>
      <c r="Q39" s="135">
        <f t="shared" si="14"/>
        <v>0.23407892834770871</v>
      </c>
      <c r="R39" s="47">
        <f t="shared" si="10"/>
        <v>0</v>
      </c>
      <c r="S39" s="47">
        <f t="shared" si="11"/>
        <v>0</v>
      </c>
    </row>
    <row r="40" spans="1:19" s="31" customFormat="1" x14ac:dyDescent="0.2">
      <c r="A40" s="44" t="s">
        <v>280</v>
      </c>
      <c r="B40" s="180" t="s">
        <v>628</v>
      </c>
      <c r="C40" s="66" t="s">
        <v>629</v>
      </c>
      <c r="D40" s="46">
        <v>2.9460000000000002</v>
      </c>
      <c r="E40" s="71" t="s">
        <v>747</v>
      </c>
      <c r="F40" s="55" t="s">
        <v>630</v>
      </c>
      <c r="G40" s="55" t="s">
        <v>865</v>
      </c>
      <c r="H40" s="45"/>
      <c r="I40" s="73" t="s">
        <v>354</v>
      </c>
      <c r="J40" s="47">
        <v>750000</v>
      </c>
      <c r="K40" s="434">
        <f>VLOOKUP(A40,'Escalation Factors'!$C$18:$H$31,6,FALSE)</f>
        <v>1.04817</v>
      </c>
      <c r="L40" s="47">
        <f t="shared" si="13"/>
        <v>786127.5</v>
      </c>
      <c r="M40" s="47">
        <f t="shared" si="5"/>
        <v>16406.480925</v>
      </c>
      <c r="N40" s="47">
        <f t="shared" si="6"/>
        <v>802533.98092500004</v>
      </c>
      <c r="O40" s="130">
        <f>1-0.75</f>
        <v>0.25</v>
      </c>
      <c r="P40" s="78">
        <f t="shared" si="7"/>
        <v>200633.49523125001</v>
      </c>
      <c r="Q40" s="135">
        <f t="shared" si="14"/>
        <v>0.23407892834770871</v>
      </c>
      <c r="R40" s="47">
        <f t="shared" si="10"/>
        <v>140892.22066315837</v>
      </c>
      <c r="S40" s="47">
        <f t="shared" si="11"/>
        <v>461008.26503059163</v>
      </c>
    </row>
    <row r="41" spans="1:19" s="31" customFormat="1" x14ac:dyDescent="0.2">
      <c r="A41" s="44" t="s">
        <v>280</v>
      </c>
      <c r="B41" s="44" t="s">
        <v>677</v>
      </c>
      <c r="C41" s="45" t="s">
        <v>678</v>
      </c>
      <c r="D41" s="54">
        <v>2.5779999999999998</v>
      </c>
      <c r="E41" s="71" t="s">
        <v>747</v>
      </c>
      <c r="F41" s="55" t="s">
        <v>876</v>
      </c>
      <c r="G41" s="45"/>
      <c r="H41" s="45" t="s">
        <v>198</v>
      </c>
      <c r="I41" s="47">
        <v>3850000</v>
      </c>
      <c r="J41" s="47"/>
      <c r="K41" s="48">
        <f>VLOOKUP(A41,'Escalation Factors'!$C$18:$D$28,2,FALSE)</f>
        <v>1.1258312770916121</v>
      </c>
      <c r="L41" s="47">
        <f>I41*K41</f>
        <v>4334450.4168027071</v>
      </c>
      <c r="M41" s="47">
        <f>L41*$M$3</f>
        <v>90459.980198672492</v>
      </c>
      <c r="N41" s="47">
        <f>L41+M41</f>
        <v>4424910.3970013792</v>
      </c>
      <c r="O41" s="130">
        <v>0.5</v>
      </c>
      <c r="P41" s="78">
        <f t="shared" si="7"/>
        <v>2212455.1985006896</v>
      </c>
      <c r="Q41" s="135">
        <f t="shared" si="14"/>
        <v>0.23407892834770871</v>
      </c>
      <c r="R41" s="47">
        <f t="shared" si="10"/>
        <v>517889.14188235858</v>
      </c>
      <c r="S41" s="47">
        <f t="shared" si="11"/>
        <v>1694566.056618331</v>
      </c>
    </row>
    <row r="42" spans="1:19" s="58" customFormat="1" ht="15" x14ac:dyDescent="0.25">
      <c r="A42" s="57" t="s">
        <v>280</v>
      </c>
      <c r="B42" s="57"/>
      <c r="D42" s="59"/>
      <c r="E42" s="57"/>
      <c r="F42" s="59"/>
      <c r="H42" s="59" t="s">
        <v>351</v>
      </c>
      <c r="I42" s="60">
        <f>SUBTOTAL(9,I32:I41)</f>
        <v>4405000</v>
      </c>
      <c r="J42" s="60">
        <f>SUBTOTAL(9,J32:J41)</f>
        <v>25097647</v>
      </c>
      <c r="K42" s="60"/>
      <c r="L42" s="60">
        <f>SUBTOTAL(9,L32:L41)</f>
        <v>31265887.431578554</v>
      </c>
      <c r="M42" s="60">
        <f>SUBTOTAL(9,M32:M41)</f>
        <v>652519.07069704449</v>
      </c>
      <c r="N42" s="60">
        <f>SUBTOTAL(9,N32:N41)</f>
        <v>31918406.502275597</v>
      </c>
      <c r="O42" s="136"/>
      <c r="P42" s="60">
        <f>SUBTOTAL(9,P32:P41)</f>
        <v>23046335.574066941</v>
      </c>
      <c r="Q42" s="61"/>
      <c r="R42" s="60">
        <f>SUBTOTAL(9,R32:R41)</f>
        <v>2076764.855099943</v>
      </c>
      <c r="S42" s="60">
        <f>SUBTOTAL(9,S32:S41)</f>
        <v>6795306.0731087113</v>
      </c>
    </row>
    <row r="43" spans="1:19" s="31" customFormat="1" x14ac:dyDescent="0.2">
      <c r="A43" s="44" t="s">
        <v>281</v>
      </c>
      <c r="B43" s="44" t="s">
        <v>760</v>
      </c>
      <c r="C43" s="45" t="s">
        <v>805</v>
      </c>
      <c r="D43" s="46">
        <v>3.6440000000000001</v>
      </c>
      <c r="E43" s="71" t="s">
        <v>747</v>
      </c>
      <c r="F43" s="55" t="s">
        <v>877</v>
      </c>
      <c r="G43" s="45"/>
      <c r="H43" s="45"/>
      <c r="I43" s="73" t="s">
        <v>354</v>
      </c>
      <c r="J43" s="47">
        <v>160000</v>
      </c>
      <c r="K43" s="434">
        <f>VLOOKUP(A43,'Escalation Factors'!$C$18:$H$31,6,FALSE)</f>
        <v>1.1541332219119997</v>
      </c>
      <c r="L43" s="47">
        <f t="shared" ref="L43" si="15">J43*K43</f>
        <v>184661.31550591995</v>
      </c>
      <c r="M43" s="47">
        <f t="shared" ref="M43" si="16">L43*$M$3</f>
        <v>3853.8816546085491</v>
      </c>
      <c r="N43" s="47">
        <f t="shared" ref="N43" si="17">L43+M43</f>
        <v>188515.19716052851</v>
      </c>
      <c r="O43" s="130">
        <f>1-0.17</f>
        <v>0.83</v>
      </c>
      <c r="P43" s="78">
        <f t="shared" ref="P43:P66" si="18">N43*O43</f>
        <v>156467.61364323864</v>
      </c>
      <c r="Q43" s="135">
        <f>$Q$3</f>
        <v>0.23407892834770871</v>
      </c>
      <c r="R43" s="47">
        <f t="shared" ref="R43:R66" si="19">(N43-P43)*Q43</f>
        <v>7501.6640058609055</v>
      </c>
      <c r="S43" s="47">
        <f t="shared" ref="S43:S66" si="20">N43-P43-R43</f>
        <v>24545.919511428961</v>
      </c>
    </row>
    <row r="44" spans="1:19" s="31" customFormat="1" x14ac:dyDescent="0.2">
      <c r="A44" s="44" t="s">
        <v>281</v>
      </c>
      <c r="B44" s="44" t="s">
        <v>760</v>
      </c>
      <c r="C44" s="45" t="s">
        <v>807</v>
      </c>
      <c r="D44" s="46">
        <v>4.3079999999999998</v>
      </c>
      <c r="E44" s="71" t="s">
        <v>747</v>
      </c>
      <c r="F44" s="55" t="s">
        <v>878</v>
      </c>
      <c r="G44" s="45"/>
      <c r="H44" s="45"/>
      <c r="I44" s="73" t="s">
        <v>354</v>
      </c>
      <c r="J44" s="47">
        <v>200000</v>
      </c>
      <c r="K44" s="434">
        <f>VLOOKUP(A44,'Escalation Factors'!$C$18:$H$31,6,FALSE)</f>
        <v>1.1541332219119997</v>
      </c>
      <c r="L44" s="47">
        <f t="shared" ref="L44:L66" si="21">J44*K44</f>
        <v>230826.64438239994</v>
      </c>
      <c r="M44" s="47">
        <f t="shared" ref="M44:M66" si="22">L44*$M$3</f>
        <v>4817.3520682606868</v>
      </c>
      <c r="N44" s="47">
        <f t="shared" ref="N44:N66" si="23">L44+M44</f>
        <v>235643.99645066063</v>
      </c>
      <c r="O44" s="130">
        <f>1-0.25</f>
        <v>0.75</v>
      </c>
      <c r="P44" s="78">
        <f t="shared" si="18"/>
        <v>176732.99733799548</v>
      </c>
      <c r="Q44" s="135">
        <f t="shared" ref="Q44:Q45" si="24">$Q$3</f>
        <v>0.23407892834770871</v>
      </c>
      <c r="R44" s="47">
        <f t="shared" si="19"/>
        <v>13789.82354018548</v>
      </c>
      <c r="S44" s="47">
        <f t="shared" si="20"/>
        <v>45121.175572479682</v>
      </c>
    </row>
    <row r="45" spans="1:19" s="31" customFormat="1" x14ac:dyDescent="0.2">
      <c r="A45" s="44" t="s">
        <v>281</v>
      </c>
      <c r="B45" s="44" t="s">
        <v>760</v>
      </c>
      <c r="C45" s="45" t="s">
        <v>879</v>
      </c>
      <c r="D45" s="46">
        <v>2.931</v>
      </c>
      <c r="E45" s="71" t="s">
        <v>747</v>
      </c>
      <c r="F45" s="55"/>
      <c r="G45" s="45"/>
      <c r="H45" s="45"/>
      <c r="I45" s="73" t="s">
        <v>354</v>
      </c>
      <c r="J45" s="47">
        <v>116800000</v>
      </c>
      <c r="K45" s="434">
        <f>VLOOKUP(A45,'Escalation Factors'!$C$18:$H$31,6,FALSE)</f>
        <v>1.1541332219119997</v>
      </c>
      <c r="L45" s="47">
        <f t="shared" si="21"/>
        <v>134802760.31932157</v>
      </c>
      <c r="M45" s="47">
        <f t="shared" si="22"/>
        <v>2813333.6078642411</v>
      </c>
      <c r="N45" s="47">
        <f t="shared" si="23"/>
        <v>137616093.9271858</v>
      </c>
      <c r="O45" s="130">
        <f>1-0.085</f>
        <v>0.91500000000000004</v>
      </c>
      <c r="P45" s="78">
        <f t="shared" si="18"/>
        <v>125918725.94337502</v>
      </c>
      <c r="Q45" s="135">
        <f t="shared" si="24"/>
        <v>0.23407892834770871</v>
      </c>
      <c r="R45" s="47">
        <f t="shared" si="19"/>
        <v>2738107.3621392259</v>
      </c>
      <c r="S45" s="47">
        <f t="shared" si="20"/>
        <v>8959260.6216715574</v>
      </c>
    </row>
    <row r="46" spans="1:19" s="31" customFormat="1" x14ac:dyDescent="0.2">
      <c r="A46" s="44" t="s">
        <v>281</v>
      </c>
      <c r="B46" s="44" t="s">
        <v>880</v>
      </c>
      <c r="C46" s="45" t="s">
        <v>881</v>
      </c>
      <c r="D46" s="54" t="s">
        <v>882</v>
      </c>
      <c r="E46" s="71" t="s">
        <v>747</v>
      </c>
      <c r="F46" s="55" t="s">
        <v>883</v>
      </c>
      <c r="G46" s="45" t="s">
        <v>884</v>
      </c>
      <c r="H46" s="45"/>
      <c r="I46" s="73" t="s">
        <v>354</v>
      </c>
      <c r="J46" s="47">
        <v>2718610</v>
      </c>
      <c r="K46" s="434">
        <f>VLOOKUP(A46,'Escalation Factors'!$C$18:$H$31,6,FALSE)</f>
        <v>1.1541332219119997</v>
      </c>
      <c r="L46" s="47">
        <f t="shared" si="21"/>
        <v>3137638.1184221818</v>
      </c>
      <c r="M46" s="47">
        <f t="shared" si="22"/>
        <v>65482.507531470932</v>
      </c>
      <c r="N46" s="47">
        <f t="shared" si="23"/>
        <v>3203120.6259536529</v>
      </c>
      <c r="O46" s="130">
        <v>1</v>
      </c>
      <c r="P46" s="78">
        <f t="shared" si="18"/>
        <v>3203120.6259536529</v>
      </c>
      <c r="Q46" s="152">
        <v>0</v>
      </c>
      <c r="R46" s="47">
        <f t="shared" si="19"/>
        <v>0</v>
      </c>
      <c r="S46" s="47">
        <f t="shared" si="20"/>
        <v>0</v>
      </c>
    </row>
    <row r="47" spans="1:19" s="31" customFormat="1" x14ac:dyDescent="0.2">
      <c r="A47" s="44" t="s">
        <v>281</v>
      </c>
      <c r="B47" s="44" t="s">
        <v>582</v>
      </c>
      <c r="C47" s="45" t="s">
        <v>583</v>
      </c>
      <c r="D47" s="46">
        <v>2.835</v>
      </c>
      <c r="E47" s="71" t="s">
        <v>747</v>
      </c>
      <c r="F47" s="55" t="s">
        <v>584</v>
      </c>
      <c r="G47" s="45"/>
      <c r="H47" s="45" t="s">
        <v>585</v>
      </c>
      <c r="I47" s="73" t="s">
        <v>354</v>
      </c>
      <c r="J47" s="47">
        <v>2310000</v>
      </c>
      <c r="K47" s="434">
        <f>VLOOKUP(A47,'Escalation Factors'!$C$18:$H$31,6,FALSE)</f>
        <v>1.1541332219119997</v>
      </c>
      <c r="L47" s="47">
        <f t="shared" si="21"/>
        <v>2666047.7426167196</v>
      </c>
      <c r="M47" s="47">
        <f t="shared" si="22"/>
        <v>55640.416388410937</v>
      </c>
      <c r="N47" s="47">
        <f t="shared" si="23"/>
        <v>2721688.1590051306</v>
      </c>
      <c r="O47" s="130">
        <v>0.25</v>
      </c>
      <c r="P47" s="78">
        <f t="shared" si="18"/>
        <v>680422.03975128266</v>
      </c>
      <c r="Q47" s="135">
        <f t="shared" si="14"/>
        <v>0.23407892834770871</v>
      </c>
      <c r="R47" s="47">
        <f t="shared" si="19"/>
        <v>477817.38566742692</v>
      </c>
      <c r="S47" s="47">
        <f t="shared" si="20"/>
        <v>1563448.733586421</v>
      </c>
    </row>
    <row r="48" spans="1:19" s="31" customFormat="1" x14ac:dyDescent="0.2">
      <c r="A48" s="44" t="s">
        <v>281</v>
      </c>
      <c r="B48" s="44" t="s">
        <v>666</v>
      </c>
      <c r="C48" s="45" t="s">
        <v>667</v>
      </c>
      <c r="D48" s="46">
        <v>2.8340000000000001</v>
      </c>
      <c r="E48" s="71" t="s">
        <v>747</v>
      </c>
      <c r="F48" s="55" t="s">
        <v>668</v>
      </c>
      <c r="G48" s="45"/>
      <c r="H48" s="45" t="s">
        <v>585</v>
      </c>
      <c r="I48" s="73" t="s">
        <v>354</v>
      </c>
      <c r="J48" s="47">
        <v>6040000</v>
      </c>
      <c r="K48" s="434">
        <f>VLOOKUP(A48,'Escalation Factors'!$C$18:$H$31,6,FALSE)</f>
        <v>1.1541332219119997</v>
      </c>
      <c r="L48" s="47">
        <f t="shared" si="21"/>
        <v>6970964.6603484787</v>
      </c>
      <c r="M48" s="47">
        <f t="shared" si="22"/>
        <v>145484.03246147276</v>
      </c>
      <c r="N48" s="47">
        <f t="shared" si="23"/>
        <v>7116448.6928099515</v>
      </c>
      <c r="O48" s="130">
        <v>0.25</v>
      </c>
      <c r="P48" s="78">
        <f t="shared" si="18"/>
        <v>1779112.1732024879</v>
      </c>
      <c r="Q48" s="135">
        <f t="shared" si="14"/>
        <v>0.23407892834770871</v>
      </c>
      <c r="R48" s="47">
        <f t="shared" si="19"/>
        <v>1249358.0127408046</v>
      </c>
      <c r="S48" s="47">
        <f t="shared" si="20"/>
        <v>4087978.506866659</v>
      </c>
    </row>
    <row r="49" spans="1:19" s="31" customFormat="1" x14ac:dyDescent="0.2">
      <c r="A49" s="44" t="s">
        <v>281</v>
      </c>
      <c r="B49" s="44" t="s">
        <v>885</v>
      </c>
      <c r="C49" s="45" t="s">
        <v>675</v>
      </c>
      <c r="D49" s="46">
        <v>2.8460000000000001</v>
      </c>
      <c r="E49" s="71" t="s">
        <v>747</v>
      </c>
      <c r="F49" s="55" t="s">
        <v>676</v>
      </c>
      <c r="G49" s="45"/>
      <c r="H49" s="45" t="s">
        <v>597</v>
      </c>
      <c r="I49" s="73" t="s">
        <v>354</v>
      </c>
      <c r="J49" s="47">
        <v>5928000</v>
      </c>
      <c r="K49" s="434">
        <f>VLOOKUP(A49,'Escalation Factors'!$C$18:$H$31,6,FALSE)</f>
        <v>1.1541332219119997</v>
      </c>
      <c r="L49" s="47">
        <f t="shared" si="21"/>
        <v>6841701.7394943349</v>
      </c>
      <c r="M49" s="47">
        <f t="shared" si="22"/>
        <v>142786.31530324678</v>
      </c>
      <c r="N49" s="47">
        <f t="shared" si="23"/>
        <v>6984488.0547975814</v>
      </c>
      <c r="O49" s="130">
        <v>0.95</v>
      </c>
      <c r="P49" s="78">
        <f t="shared" si="18"/>
        <v>6635263.6520577017</v>
      </c>
      <c r="Q49" s="135">
        <f t="shared" si="14"/>
        <v>0.23407892834770871</v>
      </c>
      <c r="R49" s="47">
        <f t="shared" si="19"/>
        <v>81746.073946219665</v>
      </c>
      <c r="S49" s="47">
        <f t="shared" si="20"/>
        <v>267478.32879366004</v>
      </c>
    </row>
    <row r="50" spans="1:19" s="31" customFormat="1" x14ac:dyDescent="0.2">
      <c r="A50" s="44" t="s">
        <v>281</v>
      </c>
      <c r="B50" s="44" t="s">
        <v>674</v>
      </c>
      <c r="C50" s="45" t="s">
        <v>886</v>
      </c>
      <c r="D50" s="54" t="s">
        <v>887</v>
      </c>
      <c r="E50" s="71" t="s">
        <v>747</v>
      </c>
      <c r="F50" s="55" t="s">
        <v>888</v>
      </c>
      <c r="G50" s="45"/>
      <c r="H50" s="45" t="s">
        <v>597</v>
      </c>
      <c r="I50" s="73" t="s">
        <v>354</v>
      </c>
      <c r="J50" s="47">
        <v>252000</v>
      </c>
      <c r="K50" s="434">
        <f>VLOOKUP(A50,'Escalation Factors'!$C$18:$H$31,6,FALSE)</f>
        <v>1.1541332219119997</v>
      </c>
      <c r="L50" s="47">
        <f t="shared" si="21"/>
        <v>290841.57192182395</v>
      </c>
      <c r="M50" s="47">
        <f t="shared" si="22"/>
        <v>6069.8636060084655</v>
      </c>
      <c r="N50" s="47">
        <f t="shared" si="23"/>
        <v>296911.43552783242</v>
      </c>
      <c r="O50" s="130">
        <v>0.95</v>
      </c>
      <c r="P50" s="78">
        <f t="shared" si="18"/>
        <v>282065.86375144077</v>
      </c>
      <c r="Q50" s="135">
        <f t="shared" si="14"/>
        <v>0.23407892834770871</v>
      </c>
      <c r="R50" s="47">
        <f t="shared" si="19"/>
        <v>3475.0355321267471</v>
      </c>
      <c r="S50" s="47">
        <f t="shared" si="20"/>
        <v>11370.5362442649</v>
      </c>
    </row>
    <row r="51" spans="1:19" s="31" customFormat="1" x14ac:dyDescent="0.2">
      <c r="A51" s="44" t="s">
        <v>281</v>
      </c>
      <c r="B51" s="44" t="s">
        <v>593</v>
      </c>
      <c r="C51" s="45" t="s">
        <v>594</v>
      </c>
      <c r="D51" s="46" t="s">
        <v>595</v>
      </c>
      <c r="E51" s="71" t="s">
        <v>747</v>
      </c>
      <c r="F51" s="55" t="s">
        <v>596</v>
      </c>
      <c r="G51" s="45"/>
      <c r="H51" s="45" t="s">
        <v>597</v>
      </c>
      <c r="I51" s="73" t="s">
        <v>354</v>
      </c>
      <c r="J51" s="47">
        <v>1960000</v>
      </c>
      <c r="K51" s="434">
        <f>VLOOKUP(A51,'Escalation Factors'!$C$18:$H$31,6,FALSE)</f>
        <v>1.1541332219119997</v>
      </c>
      <c r="L51" s="47">
        <f t="shared" si="21"/>
        <v>2262101.1149475193</v>
      </c>
      <c r="M51" s="47">
        <f t="shared" si="22"/>
        <v>47210.050268954728</v>
      </c>
      <c r="N51" s="47">
        <f t="shared" si="23"/>
        <v>2309311.1652164739</v>
      </c>
      <c r="O51" s="130">
        <v>0.05</v>
      </c>
      <c r="P51" s="78">
        <f t="shared" si="18"/>
        <v>115465.5582608237</v>
      </c>
      <c r="Q51" s="135">
        <f t="shared" si="14"/>
        <v>0.23407892834770871</v>
      </c>
      <c r="R51" s="47">
        <f t="shared" si="19"/>
        <v>513533.02863650717</v>
      </c>
      <c r="S51" s="47">
        <f t="shared" si="20"/>
        <v>1680312.578319143</v>
      </c>
    </row>
    <row r="52" spans="1:19" s="31" customFormat="1" x14ac:dyDescent="0.2">
      <c r="A52" s="44" t="s">
        <v>281</v>
      </c>
      <c r="B52" s="44" t="s">
        <v>598</v>
      </c>
      <c r="C52" s="45" t="s">
        <v>599</v>
      </c>
      <c r="D52" s="46">
        <v>2.831</v>
      </c>
      <c r="E52" s="71" t="s">
        <v>747</v>
      </c>
      <c r="F52" s="55" t="s">
        <v>600</v>
      </c>
      <c r="G52" s="45"/>
      <c r="H52" s="45" t="s">
        <v>597</v>
      </c>
      <c r="I52" s="73" t="s">
        <v>354</v>
      </c>
      <c r="J52" s="47">
        <v>2479704</v>
      </c>
      <c r="K52" s="434">
        <f>VLOOKUP(A52,'Escalation Factors'!$C$18:$H$31,6,FALSE)</f>
        <v>1.1541332219119997</v>
      </c>
      <c r="L52" s="47">
        <f t="shared" si="21"/>
        <v>2861908.7669080733</v>
      </c>
      <c r="M52" s="47">
        <f t="shared" si="22"/>
        <v>59728.035965371491</v>
      </c>
      <c r="N52" s="47">
        <f t="shared" si="23"/>
        <v>2921636.8028734447</v>
      </c>
      <c r="O52" s="130">
        <v>0.05</v>
      </c>
      <c r="P52" s="78">
        <f t="shared" si="18"/>
        <v>146081.84014367225</v>
      </c>
      <c r="Q52" s="135">
        <f t="shared" si="14"/>
        <v>0.23407892834770871</v>
      </c>
      <c r="R52" s="47">
        <f t="shared" si="19"/>
        <v>649698.93124594982</v>
      </c>
      <c r="S52" s="47">
        <f t="shared" si="20"/>
        <v>2125856.0314838225</v>
      </c>
    </row>
    <row r="53" spans="1:19" s="31" customFormat="1" x14ac:dyDescent="0.2">
      <c r="A53" s="44" t="s">
        <v>281</v>
      </c>
      <c r="B53" s="44" t="s">
        <v>729</v>
      </c>
      <c r="C53" s="45" t="s">
        <v>730</v>
      </c>
      <c r="D53" s="154" t="s">
        <v>889</v>
      </c>
      <c r="E53" s="155" t="s">
        <v>747</v>
      </c>
      <c r="F53" s="55">
        <v>800000136</v>
      </c>
      <c r="G53" s="45"/>
      <c r="H53" s="45" t="s">
        <v>601</v>
      </c>
      <c r="I53" s="73" t="s">
        <v>354</v>
      </c>
      <c r="J53" s="47">
        <v>7500000</v>
      </c>
      <c r="K53" s="434">
        <f>VLOOKUP(A53,'Escalation Factors'!$C$18:$H$31,6,FALSE)</f>
        <v>1.1541332219119997</v>
      </c>
      <c r="L53" s="47">
        <f t="shared" si="21"/>
        <v>8655999.1643399987</v>
      </c>
      <c r="M53" s="47">
        <f t="shared" si="22"/>
        <v>180650.70255977576</v>
      </c>
      <c r="N53" s="47">
        <f t="shared" si="23"/>
        <v>8836649.8668997753</v>
      </c>
      <c r="O53" s="130">
        <v>1</v>
      </c>
      <c r="P53" s="78">
        <f t="shared" si="18"/>
        <v>8836649.8668997753</v>
      </c>
      <c r="Q53" s="152">
        <v>0</v>
      </c>
      <c r="R53" s="47">
        <f t="shared" si="19"/>
        <v>0</v>
      </c>
      <c r="S53" s="47">
        <f t="shared" si="20"/>
        <v>0</v>
      </c>
    </row>
    <row r="54" spans="1:19" s="31" customFormat="1" x14ac:dyDescent="0.2">
      <c r="A54" s="44" t="s">
        <v>281</v>
      </c>
      <c r="B54" s="44" t="s">
        <v>662</v>
      </c>
      <c r="C54" s="45" t="s">
        <v>663</v>
      </c>
      <c r="D54" s="46" t="s">
        <v>880</v>
      </c>
      <c r="E54" s="71" t="s">
        <v>747</v>
      </c>
      <c r="F54" s="55" t="s">
        <v>880</v>
      </c>
      <c r="G54" s="45" t="s">
        <v>890</v>
      </c>
      <c r="H54" s="45" t="s">
        <v>601</v>
      </c>
      <c r="I54" s="73" t="s">
        <v>354</v>
      </c>
      <c r="J54" s="47">
        <v>148100000</v>
      </c>
      <c r="K54" s="434">
        <f>VLOOKUP(A54,'Escalation Factors'!$C$18:$H$31,6,FALSE)</f>
        <v>1.1541332219119997</v>
      </c>
      <c r="L54" s="47">
        <f t="shared" si="21"/>
        <v>170927130.16516715</v>
      </c>
      <c r="M54" s="47">
        <f t="shared" si="22"/>
        <v>3567249.2065470386</v>
      </c>
      <c r="N54" s="47">
        <f t="shared" si="23"/>
        <v>174494379.3717142</v>
      </c>
      <c r="O54" s="130">
        <v>0.5</v>
      </c>
      <c r="P54" s="78">
        <f t="shared" si="18"/>
        <v>87247189.685857102</v>
      </c>
      <c r="Q54" s="135">
        <f t="shared" si="14"/>
        <v>0.23407892834770871</v>
      </c>
      <c r="R54" s="47">
        <f t="shared" si="19"/>
        <v>20422728.663014695</v>
      </c>
      <c r="S54" s="47">
        <f t="shared" si="20"/>
        <v>66824461.022842407</v>
      </c>
    </row>
    <row r="55" spans="1:19" s="31" customFormat="1" x14ac:dyDescent="0.2">
      <c r="A55" s="44" t="s">
        <v>281</v>
      </c>
      <c r="B55" s="44" t="s">
        <v>602</v>
      </c>
      <c r="C55" s="66" t="s">
        <v>603</v>
      </c>
      <c r="D55" s="46">
        <v>2.8319999999999999</v>
      </c>
      <c r="E55" s="71" t="s">
        <v>747</v>
      </c>
      <c r="F55" s="55" t="s">
        <v>604</v>
      </c>
      <c r="G55" s="45" t="s">
        <v>891</v>
      </c>
      <c r="H55" s="45" t="s">
        <v>601</v>
      </c>
      <c r="I55" s="73" t="s">
        <v>354</v>
      </c>
      <c r="J55" s="47">
        <v>7098248</v>
      </c>
      <c r="K55" s="434">
        <f>VLOOKUP(A55,'Escalation Factors'!$C$18:$H$31,6,FALSE)</f>
        <v>1.1541332219119997</v>
      </c>
      <c r="L55" s="47">
        <f t="shared" si="21"/>
        <v>8192323.8341704085</v>
      </c>
      <c r="M55" s="47">
        <f t="shared" si="22"/>
        <v>170973.79841913644</v>
      </c>
      <c r="N55" s="47">
        <f t="shared" si="23"/>
        <v>8363297.6325895451</v>
      </c>
      <c r="O55" s="130">
        <v>0.05</v>
      </c>
      <c r="P55" s="78">
        <f t="shared" si="18"/>
        <v>418164.88162947726</v>
      </c>
      <c r="Q55" s="135">
        <f t="shared" si="14"/>
        <v>0.23407892834770871</v>
      </c>
      <c r="R55" s="47">
        <f t="shared" si="19"/>
        <v>1859788.1599250156</v>
      </c>
      <c r="S55" s="47">
        <f t="shared" si="20"/>
        <v>6085344.5910350522</v>
      </c>
    </row>
    <row r="56" spans="1:19" s="31" customFormat="1" x14ac:dyDescent="0.2">
      <c r="A56" s="44" t="s">
        <v>281</v>
      </c>
      <c r="B56" s="44" t="s">
        <v>605</v>
      </c>
      <c r="C56" s="66" t="s">
        <v>606</v>
      </c>
      <c r="D56" s="46">
        <v>2.8330000000000002</v>
      </c>
      <c r="E56" s="71" t="s">
        <v>747</v>
      </c>
      <c r="F56" s="55" t="s">
        <v>607</v>
      </c>
      <c r="G56" s="45" t="s">
        <v>892</v>
      </c>
      <c r="H56" s="45" t="s">
        <v>601</v>
      </c>
      <c r="I56" s="73" t="s">
        <v>354</v>
      </c>
      <c r="J56" s="47">
        <v>2290000</v>
      </c>
      <c r="K56" s="434">
        <f>VLOOKUP(A56,'Escalation Factors'!$C$18:$H$31,6,FALSE)</f>
        <v>1.1541332219119997</v>
      </c>
      <c r="L56" s="47">
        <f t="shared" si="21"/>
        <v>2642965.0781784793</v>
      </c>
      <c r="M56" s="47">
        <f t="shared" si="22"/>
        <v>55158.681181584863</v>
      </c>
      <c r="N56" s="47">
        <f t="shared" si="23"/>
        <v>2698123.7593600643</v>
      </c>
      <c r="O56" s="130">
        <v>0.05</v>
      </c>
      <c r="P56" s="78">
        <f t="shared" si="18"/>
        <v>134906.18796800321</v>
      </c>
      <c r="Q56" s="135">
        <f t="shared" si="14"/>
        <v>0.23407892834770871</v>
      </c>
      <c r="R56" s="47">
        <f t="shared" si="19"/>
        <v>599995.22223347018</v>
      </c>
      <c r="S56" s="47">
        <f t="shared" si="20"/>
        <v>1963222.3491585911</v>
      </c>
    </row>
    <row r="57" spans="1:19" s="31" customFormat="1" x14ac:dyDescent="0.2">
      <c r="A57" s="44" t="s">
        <v>281</v>
      </c>
      <c r="B57" s="44" t="s">
        <v>612</v>
      </c>
      <c r="C57" s="66" t="s">
        <v>613</v>
      </c>
      <c r="D57" s="46">
        <v>2.6789999999999998</v>
      </c>
      <c r="E57" s="71" t="s">
        <v>747</v>
      </c>
      <c r="F57" s="55" t="s">
        <v>614</v>
      </c>
      <c r="G57" s="45" t="s">
        <v>893</v>
      </c>
      <c r="H57" s="45"/>
      <c r="I57" s="73" t="s">
        <v>354</v>
      </c>
      <c r="J57" s="47">
        <v>5055000</v>
      </c>
      <c r="K57" s="434">
        <f>VLOOKUP(A57,'Escalation Factors'!$C$18:$H$31,6,FALSE)</f>
        <v>1.1541332219119997</v>
      </c>
      <c r="L57" s="47">
        <f t="shared" si="21"/>
        <v>5834143.4367651585</v>
      </c>
      <c r="M57" s="47">
        <f t="shared" si="22"/>
        <v>121758.57352528886</v>
      </c>
      <c r="N57" s="47">
        <f t="shared" si="23"/>
        <v>5955902.0102904476</v>
      </c>
      <c r="O57" s="130">
        <v>0.5</v>
      </c>
      <c r="P57" s="78">
        <f t="shared" si="18"/>
        <v>2977951.0051452238</v>
      </c>
      <c r="Q57" s="135">
        <f t="shared" si="14"/>
        <v>0.23407892834770871</v>
      </c>
      <c r="R57" s="47">
        <f t="shared" si="19"/>
        <v>697075.57995637599</v>
      </c>
      <c r="S57" s="47">
        <f t="shared" si="20"/>
        <v>2280875.4251888478</v>
      </c>
    </row>
    <row r="58" spans="1:19" s="31" customFormat="1" x14ac:dyDescent="0.2">
      <c r="A58" s="44" t="s">
        <v>281</v>
      </c>
      <c r="B58" s="44" t="s">
        <v>616</v>
      </c>
      <c r="C58" s="66" t="s">
        <v>617</v>
      </c>
      <c r="D58" s="46">
        <v>2.9820000000000002</v>
      </c>
      <c r="E58" s="71" t="s">
        <v>747</v>
      </c>
      <c r="F58" s="55" t="s">
        <v>618</v>
      </c>
      <c r="G58" s="55" t="s">
        <v>615</v>
      </c>
      <c r="H58" s="45"/>
      <c r="I58" s="73" t="s">
        <v>354</v>
      </c>
      <c r="J58" s="47">
        <v>36200000</v>
      </c>
      <c r="K58" s="434">
        <f>VLOOKUP(A58,'Escalation Factors'!$C$18:$H$31,6,FALSE)</f>
        <v>1.1541332219119997</v>
      </c>
      <c r="L58" s="47">
        <f t="shared" si="21"/>
        <v>41779622.633214392</v>
      </c>
      <c r="M58" s="47">
        <f t="shared" si="22"/>
        <v>871940.72435518436</v>
      </c>
      <c r="N58" s="47">
        <f t="shared" si="23"/>
        <v>42651563.357569575</v>
      </c>
      <c r="O58" s="130">
        <v>0.25</v>
      </c>
      <c r="P58" s="78">
        <f t="shared" si="18"/>
        <v>10662890.839392394</v>
      </c>
      <c r="Q58" s="135">
        <f t="shared" si="14"/>
        <v>0.23407892834770871</v>
      </c>
      <c r="R58" s="47">
        <f t="shared" si="19"/>
        <v>7487874.1823207149</v>
      </c>
      <c r="S58" s="47">
        <f t="shared" si="20"/>
        <v>24500798.335856467</v>
      </c>
    </row>
    <row r="59" spans="1:19" s="31" customFormat="1" x14ac:dyDescent="0.2">
      <c r="A59" s="44" t="s">
        <v>281</v>
      </c>
      <c r="B59" s="44" t="s">
        <v>619</v>
      </c>
      <c r="C59" s="66" t="s">
        <v>620</v>
      </c>
      <c r="D59" s="46">
        <v>2.6720000000000002</v>
      </c>
      <c r="E59" s="71" t="s">
        <v>747</v>
      </c>
      <c r="F59" s="55"/>
      <c r="G59" s="55" t="s">
        <v>615</v>
      </c>
      <c r="H59" s="45"/>
      <c r="I59" s="73" t="s">
        <v>354</v>
      </c>
      <c r="J59" s="47">
        <v>5350000</v>
      </c>
      <c r="K59" s="434">
        <f>VLOOKUP(A59,'Escalation Factors'!$C$18:$H$31,6,FALSE)</f>
        <v>1.1541332219119997</v>
      </c>
      <c r="L59" s="47">
        <f t="shared" si="21"/>
        <v>6174612.7372291982</v>
      </c>
      <c r="M59" s="47">
        <f t="shared" si="22"/>
        <v>128864.16782597336</v>
      </c>
      <c r="N59" s="47">
        <f t="shared" si="23"/>
        <v>6303476.9050551718</v>
      </c>
      <c r="O59" s="130">
        <v>0.25</v>
      </c>
      <c r="P59" s="78">
        <f t="shared" si="18"/>
        <v>1575869.226263793</v>
      </c>
      <c r="Q59" s="135">
        <f t="shared" si="14"/>
        <v>0.23407892834770871</v>
      </c>
      <c r="R59" s="47">
        <f t="shared" si="19"/>
        <v>1106633.3390998847</v>
      </c>
      <c r="S59" s="47">
        <f t="shared" si="20"/>
        <v>3620974.3396914937</v>
      </c>
    </row>
    <row r="60" spans="1:19" s="31" customFormat="1" x14ac:dyDescent="0.2">
      <c r="A60" s="44" t="s">
        <v>281</v>
      </c>
      <c r="B60" s="44" t="s">
        <v>621</v>
      </c>
      <c r="C60" s="66" t="s">
        <v>622</v>
      </c>
      <c r="D60" s="46">
        <v>2.6779999999999999</v>
      </c>
      <c r="E60" s="71" t="s">
        <v>749</v>
      </c>
      <c r="F60" s="55"/>
      <c r="G60" s="45" t="s">
        <v>615</v>
      </c>
      <c r="H60" s="45"/>
      <c r="I60" s="73" t="s">
        <v>354</v>
      </c>
      <c r="J60" s="47">
        <v>6250000</v>
      </c>
      <c r="K60" s="434">
        <f>VLOOKUP(A60,'Escalation Factors'!$C$18:$H$31,6,FALSE)</f>
        <v>1.1541332219119997</v>
      </c>
      <c r="L60" s="47">
        <f t="shared" si="21"/>
        <v>7213332.6369499983</v>
      </c>
      <c r="M60" s="47">
        <f t="shared" si="22"/>
        <v>150542.25213314645</v>
      </c>
      <c r="N60" s="47">
        <f t="shared" si="23"/>
        <v>7363874.8890831452</v>
      </c>
      <c r="O60" s="130">
        <v>0.25</v>
      </c>
      <c r="P60" s="78">
        <f t="shared" si="18"/>
        <v>1840968.7222707863</v>
      </c>
      <c r="Q60" s="135">
        <f t="shared" si="14"/>
        <v>0.23407892834770871</v>
      </c>
      <c r="R60" s="47">
        <f t="shared" si="19"/>
        <v>1292795.9568923886</v>
      </c>
      <c r="S60" s="47">
        <f t="shared" si="20"/>
        <v>4230110.2099199696</v>
      </c>
    </row>
    <row r="61" spans="1:19" s="31" customFormat="1" x14ac:dyDescent="0.2">
      <c r="A61" s="44" t="s">
        <v>281</v>
      </c>
      <c r="B61" s="44" t="s">
        <v>631</v>
      </c>
      <c r="C61" s="66" t="s">
        <v>632</v>
      </c>
      <c r="D61" s="46">
        <v>2.9460000000000002</v>
      </c>
      <c r="E61" s="71" t="s">
        <v>747</v>
      </c>
      <c r="F61" s="55" t="s">
        <v>633</v>
      </c>
      <c r="G61" s="149" t="s">
        <v>865</v>
      </c>
      <c r="H61" s="45"/>
      <c r="I61" s="73" t="s">
        <v>354</v>
      </c>
      <c r="J61" s="47">
        <v>345943</v>
      </c>
      <c r="K61" s="434">
        <f>VLOOKUP(A61,'Escalation Factors'!$C$18:$H$31,6,FALSE)</f>
        <v>1.1541332219119997</v>
      </c>
      <c r="L61" s="47">
        <f t="shared" si="21"/>
        <v>399264.30918790295</v>
      </c>
      <c r="M61" s="47">
        <f t="shared" si="22"/>
        <v>8332.6461327515353</v>
      </c>
      <c r="N61" s="47">
        <f t="shared" si="23"/>
        <v>407596.9553206545</v>
      </c>
      <c r="O61" s="130">
        <f>1-0.95</f>
        <v>5.0000000000000044E-2</v>
      </c>
      <c r="P61" s="78">
        <f t="shared" si="18"/>
        <v>20379.847766032744</v>
      </c>
      <c r="Q61" s="135">
        <f t="shared" si="14"/>
        <v>0.23407892834770871</v>
      </c>
      <c r="R61" s="47">
        <f t="shared" si="19"/>
        <v>90639.36557428533</v>
      </c>
      <c r="S61" s="47">
        <f t="shared" si="20"/>
        <v>296577.74198033643</v>
      </c>
    </row>
    <row r="62" spans="1:19" s="31" customFormat="1" x14ac:dyDescent="0.2">
      <c r="A62" s="44" t="s">
        <v>281</v>
      </c>
      <c r="B62" s="44" t="s">
        <v>894</v>
      </c>
      <c r="C62" s="66" t="s">
        <v>627</v>
      </c>
      <c r="D62" s="54" t="s">
        <v>895</v>
      </c>
      <c r="E62" s="151" t="s">
        <v>749</v>
      </c>
      <c r="F62" s="55"/>
      <c r="G62" s="153" t="s">
        <v>865</v>
      </c>
      <c r="H62" s="45"/>
      <c r="I62" s="73" t="s">
        <v>354</v>
      </c>
      <c r="J62" s="47">
        <v>5118000</v>
      </c>
      <c r="K62" s="434">
        <f>VLOOKUP(A62,'Escalation Factors'!$C$18:$H$31,6,FALSE)</f>
        <v>1.1541332219119997</v>
      </c>
      <c r="L62" s="47">
        <f t="shared" si="21"/>
        <v>5906853.8297456149</v>
      </c>
      <c r="M62" s="47">
        <f t="shared" si="22"/>
        <v>123276.03942679099</v>
      </c>
      <c r="N62" s="47">
        <f t="shared" si="23"/>
        <v>6030129.8691724055</v>
      </c>
      <c r="O62" s="130">
        <f>1-0.95%</f>
        <v>0.99050000000000005</v>
      </c>
      <c r="P62" s="78">
        <f t="shared" si="18"/>
        <v>5972843.6354152681</v>
      </c>
      <c r="Q62" s="135">
        <f t="shared" si="14"/>
        <v>0.23407892834770871</v>
      </c>
      <c r="R62" s="47">
        <f t="shared" si="19"/>
        <v>13409.500206947039</v>
      </c>
      <c r="S62" s="47">
        <f t="shared" si="20"/>
        <v>43876.733550190285</v>
      </c>
    </row>
    <row r="63" spans="1:19" s="31" customFormat="1" x14ac:dyDescent="0.2">
      <c r="A63" s="44" t="s">
        <v>281</v>
      </c>
      <c r="B63" s="44" t="s">
        <v>896</v>
      </c>
      <c r="C63" s="66" t="s">
        <v>897</v>
      </c>
      <c r="D63" s="54" t="s">
        <v>898</v>
      </c>
      <c r="E63" s="71" t="s">
        <v>747</v>
      </c>
      <c r="F63" s="55" t="s">
        <v>899</v>
      </c>
      <c r="G63" s="45" t="s">
        <v>900</v>
      </c>
      <c r="H63" s="45" t="s">
        <v>679</v>
      </c>
      <c r="I63" s="73" t="s">
        <v>354</v>
      </c>
      <c r="J63" s="47">
        <v>26400000</v>
      </c>
      <c r="K63" s="434">
        <f>VLOOKUP(A63,'Escalation Factors'!$C$18:$H$31,6,FALSE)</f>
        <v>1.1541332219119997</v>
      </c>
      <c r="L63" s="47">
        <f t="shared" si="21"/>
        <v>30469117.058476795</v>
      </c>
      <c r="M63" s="47">
        <f t="shared" si="22"/>
        <v>635890.47301041067</v>
      </c>
      <c r="N63" s="47">
        <f t="shared" si="23"/>
        <v>31105007.531487204</v>
      </c>
      <c r="O63" s="130">
        <f>1-0.95</f>
        <v>5.0000000000000044E-2</v>
      </c>
      <c r="P63" s="78">
        <f t="shared" si="18"/>
        <v>1555250.3765743617</v>
      </c>
      <c r="Q63" s="135">
        <f t="shared" si="14"/>
        <v>0.23407892834770871</v>
      </c>
      <c r="R63" s="47">
        <f t="shared" si="19"/>
        <v>6916975.4877570365</v>
      </c>
      <c r="S63" s="47">
        <f t="shared" si="20"/>
        <v>22632781.66715581</v>
      </c>
    </row>
    <row r="64" spans="1:19" s="31" customFormat="1" x14ac:dyDescent="0.2">
      <c r="A64" s="44" t="s">
        <v>281</v>
      </c>
      <c r="B64" s="44" t="s">
        <v>680</v>
      </c>
      <c r="C64" s="66" t="s">
        <v>681</v>
      </c>
      <c r="D64" s="54" t="s">
        <v>901</v>
      </c>
      <c r="E64" s="71" t="s">
        <v>749</v>
      </c>
      <c r="F64" s="55"/>
      <c r="G64" s="45"/>
      <c r="H64" s="45" t="s">
        <v>679</v>
      </c>
      <c r="I64" s="73" t="s">
        <v>354</v>
      </c>
      <c r="J64" s="47">
        <v>575000</v>
      </c>
      <c r="K64" s="434">
        <f>VLOOKUP(A64,'Escalation Factors'!$C$18:$H$31,6,FALSE)</f>
        <v>1.1541332219119997</v>
      </c>
      <c r="L64" s="47">
        <f t="shared" si="21"/>
        <v>663626.60259939986</v>
      </c>
      <c r="M64" s="47">
        <f t="shared" si="22"/>
        <v>13849.887196249474</v>
      </c>
      <c r="N64" s="47">
        <f t="shared" si="23"/>
        <v>677476.48979564931</v>
      </c>
      <c r="O64" s="130">
        <f>1-0.95</f>
        <v>5.0000000000000044E-2</v>
      </c>
      <c r="P64" s="78">
        <f t="shared" si="18"/>
        <v>33873.824489782499</v>
      </c>
      <c r="Q64" s="135">
        <f t="shared" si="14"/>
        <v>0.23407892834770871</v>
      </c>
      <c r="R64" s="47">
        <f t="shared" si="19"/>
        <v>150653.82217652636</v>
      </c>
      <c r="S64" s="47">
        <f t="shared" si="20"/>
        <v>492948.8431293405</v>
      </c>
    </row>
    <row r="65" spans="1:19" s="31" customFormat="1" x14ac:dyDescent="0.2">
      <c r="A65" s="44" t="s">
        <v>281</v>
      </c>
      <c r="B65" s="44" t="s">
        <v>652</v>
      </c>
      <c r="C65" s="45" t="s">
        <v>653</v>
      </c>
      <c r="D65" s="54" t="s">
        <v>902</v>
      </c>
      <c r="E65" s="71" t="s">
        <v>747</v>
      </c>
      <c r="F65" s="55"/>
      <c r="G65" s="45"/>
      <c r="H65" s="45" t="s">
        <v>198</v>
      </c>
      <c r="I65" s="73" t="s">
        <v>354</v>
      </c>
      <c r="J65" s="47">
        <v>7000000</v>
      </c>
      <c r="K65" s="434">
        <f>VLOOKUP(A65,'Escalation Factors'!$C$18:$H$31,6,FALSE)</f>
        <v>1.1541332219119997</v>
      </c>
      <c r="L65" s="47">
        <f t="shared" si="21"/>
        <v>8078932.5533839986</v>
      </c>
      <c r="M65" s="47">
        <f t="shared" si="22"/>
        <v>168607.32238912405</v>
      </c>
      <c r="N65" s="47">
        <f t="shared" si="23"/>
        <v>8247539.8757731225</v>
      </c>
      <c r="O65" s="130">
        <v>0.05</v>
      </c>
      <c r="P65" s="78">
        <f t="shared" si="18"/>
        <v>412376.99378865614</v>
      </c>
      <c r="Q65" s="135">
        <f t="shared" si="14"/>
        <v>0.23407892834770871</v>
      </c>
      <c r="R65" s="47">
        <f t="shared" si="19"/>
        <v>1834046.5308446689</v>
      </c>
      <c r="S65" s="47">
        <f t="shared" si="20"/>
        <v>6001116.3511397978</v>
      </c>
    </row>
    <row r="66" spans="1:19" s="31" customFormat="1" x14ac:dyDescent="0.2">
      <c r="A66" s="44" t="s">
        <v>281</v>
      </c>
      <c r="B66" s="44" t="s">
        <v>654</v>
      </c>
      <c r="C66" s="45" t="s">
        <v>655</v>
      </c>
      <c r="D66" s="54" t="s">
        <v>903</v>
      </c>
      <c r="E66" s="71" t="s">
        <v>747</v>
      </c>
      <c r="F66" s="55" t="s">
        <v>656</v>
      </c>
      <c r="G66" s="45"/>
      <c r="H66" s="45" t="s">
        <v>198</v>
      </c>
      <c r="I66" s="73" t="s">
        <v>354</v>
      </c>
      <c r="J66" s="47">
        <v>22956100</v>
      </c>
      <c r="K66" s="434">
        <f>VLOOKUP(A66,'Escalation Factors'!$C$18:$H$31,6,FALSE)</f>
        <v>1.1541332219119997</v>
      </c>
      <c r="L66" s="47">
        <f t="shared" si="21"/>
        <v>26494397.655534059</v>
      </c>
      <c r="M66" s="47">
        <f t="shared" si="22"/>
        <v>552938.07907099579</v>
      </c>
      <c r="N66" s="47">
        <f t="shared" si="23"/>
        <v>27047335.734605055</v>
      </c>
      <c r="O66" s="130">
        <v>0.25</v>
      </c>
      <c r="P66" s="78">
        <f t="shared" si="18"/>
        <v>6761833.9336512638</v>
      </c>
      <c r="Q66" s="135">
        <f t="shared" si="14"/>
        <v>0.23407892834770871</v>
      </c>
      <c r="R66" s="47">
        <f t="shared" si="19"/>
        <v>4748408.5225627786</v>
      </c>
      <c r="S66" s="47">
        <f t="shared" si="20"/>
        <v>15537093.278391011</v>
      </c>
    </row>
    <row r="67" spans="1:19" s="58" customFormat="1" ht="15" x14ac:dyDescent="0.25">
      <c r="A67" s="57" t="s">
        <v>281</v>
      </c>
      <c r="B67" s="57"/>
      <c r="D67" s="59"/>
      <c r="E67" s="57"/>
      <c r="H67" s="59" t="s">
        <v>351</v>
      </c>
      <c r="I67" s="60">
        <f>SUBTOTAL(9,I43:I66)</f>
        <v>0</v>
      </c>
      <c r="J67" s="60">
        <f>SUBTOTAL(9,J43:J66)</f>
        <v>419086605</v>
      </c>
      <c r="K67" s="60"/>
      <c r="L67" s="60">
        <f>SUBTOTAL(9,L43:L66)</f>
        <v>483681773.68881154</v>
      </c>
      <c r="M67" s="60">
        <f>SUBTOTAL(9,M43:M66)</f>
        <v>10094438.6168855</v>
      </c>
      <c r="N67" s="60">
        <f>SUBTOTAL(9,N43:N66)</f>
        <v>493776212.30569708</v>
      </c>
      <c r="O67" s="136"/>
      <c r="P67" s="60">
        <f>SUBTOTAL(9,P43:P66)</f>
        <v>267544607.33458924</v>
      </c>
      <c r="Q67" s="61"/>
      <c r="R67" s="60">
        <f>SUBTOTAL(9,R43:R66)</f>
        <v>52956051.650019087</v>
      </c>
      <c r="S67" s="60">
        <f>SUBTOTAL(9,S43:S66)</f>
        <v>173275553.32108873</v>
      </c>
    </row>
    <row r="68" spans="1:19" s="31" customFormat="1" x14ac:dyDescent="0.2">
      <c r="A68" s="44" t="s">
        <v>282</v>
      </c>
      <c r="B68" s="44" t="s">
        <v>760</v>
      </c>
      <c r="C68" s="45" t="s">
        <v>779</v>
      </c>
      <c r="D68" s="154" t="s">
        <v>780</v>
      </c>
      <c r="E68" s="155" t="s">
        <v>747</v>
      </c>
      <c r="F68" s="55"/>
      <c r="G68" s="45"/>
      <c r="H68" s="45"/>
      <c r="I68" s="73" t="s">
        <v>354</v>
      </c>
      <c r="J68" s="47">
        <v>3000000</v>
      </c>
      <c r="K68" s="434">
        <f>VLOOKUP(A68,'Escalation Factors'!$C$18:$H$31,6,FALSE)</f>
        <v>1.4602074832540217</v>
      </c>
      <c r="L68" s="47">
        <f t="shared" ref="L68:L70" si="25">J68*K68</f>
        <v>4380622.449762065</v>
      </c>
      <c r="M68" s="47">
        <f t="shared" ref="M68:M70" si="26">L68*$M$3</f>
        <v>91423.590526534288</v>
      </c>
      <c r="N68" s="47">
        <f t="shared" ref="N68:N70" si="27">L68+M68</f>
        <v>4472046.0402885992</v>
      </c>
      <c r="O68" s="130">
        <f>1-0.17</f>
        <v>0.83</v>
      </c>
      <c r="P68" s="78">
        <f t="shared" ref="P68:P90" si="28">N68*O68</f>
        <v>3711798.2134395372</v>
      </c>
      <c r="Q68" s="135">
        <f>$Q$3</f>
        <v>0.23407892834770871</v>
      </c>
      <c r="R68" s="47">
        <f t="shared" ref="R68:R90" si="29">(N68-P68)*Q68</f>
        <v>177957.99658750286</v>
      </c>
      <c r="S68" s="47">
        <f t="shared" ref="S68:S90" si="30">N68-P68-R68</f>
        <v>582289.83026155911</v>
      </c>
    </row>
    <row r="69" spans="1:19" s="31" customFormat="1" x14ac:dyDescent="0.2">
      <c r="A69" s="44" t="s">
        <v>282</v>
      </c>
      <c r="B69" s="44" t="s">
        <v>657</v>
      </c>
      <c r="C69" s="45" t="s">
        <v>658</v>
      </c>
      <c r="D69" s="46">
        <v>2.8359999999999999</v>
      </c>
      <c r="E69" s="71" t="s">
        <v>747</v>
      </c>
      <c r="F69" s="55" t="s">
        <v>661</v>
      </c>
      <c r="G69" s="45"/>
      <c r="H69" s="45" t="s">
        <v>585</v>
      </c>
      <c r="I69" s="73" t="s">
        <v>354</v>
      </c>
      <c r="J69" s="47">
        <v>3700000</v>
      </c>
      <c r="K69" s="434">
        <f>VLOOKUP(A69,'Escalation Factors'!$C$18:$H$31,6,FALSE)</f>
        <v>1.4602074832540217</v>
      </c>
      <c r="L69" s="47">
        <f t="shared" si="25"/>
        <v>5402767.6880398802</v>
      </c>
      <c r="M69" s="47">
        <f t="shared" si="26"/>
        <v>112755.7616493923</v>
      </c>
      <c r="N69" s="47">
        <f t="shared" si="27"/>
        <v>5515523.4496892728</v>
      </c>
      <c r="O69" s="130">
        <f>1-0.75</f>
        <v>0.25</v>
      </c>
      <c r="P69" s="78">
        <f t="shared" si="28"/>
        <v>1378880.8624223182</v>
      </c>
      <c r="Q69" s="135">
        <f t="shared" ref="Q69:Q72" si="31">$Q$3</f>
        <v>0.23407892834770871</v>
      </c>
      <c r="R69" s="47">
        <f t="shared" si="29"/>
        <v>968300.86378494184</v>
      </c>
      <c r="S69" s="47">
        <f t="shared" si="30"/>
        <v>3168341.7234820127</v>
      </c>
    </row>
    <row r="70" spans="1:19" s="31" customFormat="1" x14ac:dyDescent="0.2">
      <c r="A70" s="44" t="s">
        <v>282</v>
      </c>
      <c r="B70" s="44" t="s">
        <v>659</v>
      </c>
      <c r="C70" s="45" t="s">
        <v>660</v>
      </c>
      <c r="D70" s="46">
        <v>2.8370000000000002</v>
      </c>
      <c r="E70" s="71" t="s">
        <v>747</v>
      </c>
      <c r="F70" s="55" t="s">
        <v>904</v>
      </c>
      <c r="G70" s="45"/>
      <c r="H70" s="45" t="s">
        <v>585</v>
      </c>
      <c r="I70" s="73" t="s">
        <v>354</v>
      </c>
      <c r="J70" s="47">
        <v>2100000</v>
      </c>
      <c r="K70" s="434">
        <f>VLOOKUP(A70,'Escalation Factors'!$C$18:$H$31,6,FALSE)</f>
        <v>1.4602074832540217</v>
      </c>
      <c r="L70" s="47">
        <f t="shared" si="25"/>
        <v>3066435.7148334454</v>
      </c>
      <c r="M70" s="47">
        <f t="shared" si="26"/>
        <v>63996.513368574007</v>
      </c>
      <c r="N70" s="47">
        <f t="shared" si="27"/>
        <v>3130432.2282020194</v>
      </c>
      <c r="O70" s="130">
        <f>1-0.25</f>
        <v>0.75</v>
      </c>
      <c r="P70" s="78">
        <f t="shared" si="28"/>
        <v>2347824.1711515146</v>
      </c>
      <c r="Q70" s="135">
        <f t="shared" si="31"/>
        <v>0.23407892834770871</v>
      </c>
      <c r="R70" s="47">
        <f t="shared" si="29"/>
        <v>183192.05531066464</v>
      </c>
      <c r="S70" s="47">
        <f t="shared" si="30"/>
        <v>599416.00173984002</v>
      </c>
    </row>
    <row r="71" spans="1:19" s="31" customFormat="1" x14ac:dyDescent="0.2">
      <c r="A71" s="44" t="s">
        <v>282</v>
      </c>
      <c r="B71" s="44" t="s">
        <v>682</v>
      </c>
      <c r="C71" s="45" t="s">
        <v>683</v>
      </c>
      <c r="D71" s="156">
        <v>0</v>
      </c>
      <c r="E71" s="155" t="s">
        <v>747</v>
      </c>
      <c r="F71" s="55"/>
      <c r="G71" s="45"/>
      <c r="H71" s="45" t="s">
        <v>585</v>
      </c>
      <c r="I71" s="47">
        <v>1912000</v>
      </c>
      <c r="J71" s="47"/>
      <c r="K71" s="48">
        <f>VLOOKUP(A71,'Escalation Factors'!$C$18:$D$28,2,FALSE)</f>
        <v>1.7920392732379322</v>
      </c>
      <c r="L71" s="47">
        <f>I71*K71</f>
        <v>3426379.0904309265</v>
      </c>
      <c r="M71" s="47">
        <f>L71*$M$3</f>
        <v>71508.53161729344</v>
      </c>
      <c r="N71" s="47">
        <f>L71+M71</f>
        <v>3497887.6220482201</v>
      </c>
      <c r="O71" s="130">
        <v>0.25</v>
      </c>
      <c r="P71" s="78">
        <f t="shared" si="28"/>
        <v>874471.90551205503</v>
      </c>
      <c r="Q71" s="135">
        <f t="shared" si="31"/>
        <v>0.23407892834770871</v>
      </c>
      <c r="R71" s="47">
        <f t="shared" si="29"/>
        <v>614086.33953732194</v>
      </c>
      <c r="S71" s="47">
        <f t="shared" si="30"/>
        <v>2009329.3769988432</v>
      </c>
    </row>
    <row r="72" spans="1:19" s="31" customFormat="1" x14ac:dyDescent="0.2">
      <c r="A72" s="44" t="s">
        <v>282</v>
      </c>
      <c r="B72" s="44" t="s">
        <v>669</v>
      </c>
      <c r="C72" s="45" t="s">
        <v>670</v>
      </c>
      <c r="D72" s="46">
        <v>2.8519999999999999</v>
      </c>
      <c r="E72" s="71" t="s">
        <v>747</v>
      </c>
      <c r="F72" s="55" t="s">
        <v>905</v>
      </c>
      <c r="G72" s="45"/>
      <c r="H72" s="45" t="s">
        <v>585</v>
      </c>
      <c r="I72" s="73" t="s">
        <v>354</v>
      </c>
      <c r="J72" s="47">
        <v>21654000</v>
      </c>
      <c r="K72" s="434">
        <f>VLOOKUP(A72,'Escalation Factors'!$C$18:$H$31,6,FALSE)</f>
        <v>1.4602074832540217</v>
      </c>
      <c r="L72" s="47">
        <f t="shared" ref="L72" si="32">J72*K72</f>
        <v>31619332.842382587</v>
      </c>
      <c r="M72" s="47">
        <f t="shared" ref="M72" si="33">L72*$M$3</f>
        <v>659895.47642052465</v>
      </c>
      <c r="N72" s="47">
        <f t="shared" ref="N72" si="34">L72+M72</f>
        <v>32279228.318803113</v>
      </c>
      <c r="O72" s="130">
        <v>0.05</v>
      </c>
      <c r="P72" s="78">
        <f t="shared" si="28"/>
        <v>1613961.4159401557</v>
      </c>
      <c r="Q72" s="135">
        <f t="shared" si="31"/>
        <v>0.23407892834770871</v>
      </c>
      <c r="R72" s="47">
        <f t="shared" si="29"/>
        <v>7178092.8141186219</v>
      </c>
      <c r="S72" s="47">
        <f t="shared" si="30"/>
        <v>23487174.088744335</v>
      </c>
    </row>
    <row r="73" spans="1:19" s="31" customFormat="1" x14ac:dyDescent="0.2">
      <c r="A73" s="44" t="s">
        <v>282</v>
      </c>
      <c r="B73" s="44" t="s">
        <v>686</v>
      </c>
      <c r="C73" s="45" t="s">
        <v>687</v>
      </c>
      <c r="D73" s="156">
        <v>0</v>
      </c>
      <c r="E73" s="155" t="s">
        <v>749</v>
      </c>
      <c r="F73" s="55"/>
      <c r="G73" s="45"/>
      <c r="H73" s="45" t="s">
        <v>585</v>
      </c>
      <c r="I73" s="47">
        <v>340000</v>
      </c>
      <c r="J73" s="47"/>
      <c r="K73" s="48">
        <f>VLOOKUP(A73,'Escalation Factors'!$C$18:$D$28,2,FALSE)</f>
        <v>1.7920392732379322</v>
      </c>
      <c r="L73" s="47">
        <f t="shared" ref="L73" si="35">I73*K73</f>
        <v>609293.35290089692</v>
      </c>
      <c r="M73" s="47">
        <f t="shared" ref="M73:M74" si="36">L73*$M$3</f>
        <v>12715.952275041718</v>
      </c>
      <c r="N73" s="47">
        <f t="shared" ref="N73:N74" si="37">L73+M73</f>
        <v>622009.30517593864</v>
      </c>
      <c r="O73" s="130">
        <v>1</v>
      </c>
      <c r="P73" s="78">
        <f t="shared" si="28"/>
        <v>622009.30517593864</v>
      </c>
      <c r="Q73" s="152">
        <v>0</v>
      </c>
      <c r="R73" s="47">
        <f t="shared" si="29"/>
        <v>0</v>
      </c>
      <c r="S73" s="47">
        <f t="shared" si="30"/>
        <v>0</v>
      </c>
    </row>
    <row r="74" spans="1:19" s="31" customFormat="1" x14ac:dyDescent="0.2">
      <c r="A74" s="44" t="s">
        <v>282</v>
      </c>
      <c r="B74" s="44" t="s">
        <v>688</v>
      </c>
      <c r="C74" s="45" t="s">
        <v>689</v>
      </c>
      <c r="D74" s="154" t="s">
        <v>906</v>
      </c>
      <c r="E74" s="155" t="s">
        <v>747</v>
      </c>
      <c r="F74" s="55"/>
      <c r="G74" s="45"/>
      <c r="H74" s="45" t="s">
        <v>585</v>
      </c>
      <c r="I74" s="73" t="s">
        <v>354</v>
      </c>
      <c r="J74" s="47">
        <v>1120232</v>
      </c>
      <c r="K74" s="434">
        <f>VLOOKUP(A74,'Escalation Factors'!$C$18:$H$31,6,FALSE)</f>
        <v>1.4602074832540217</v>
      </c>
      <c r="L74" s="47">
        <f t="shared" ref="L74" si="38">J74*K74</f>
        <v>1635771.1493806192</v>
      </c>
      <c r="M74" s="47">
        <f t="shared" si="36"/>
        <v>34138.54388757352</v>
      </c>
      <c r="N74" s="47">
        <f t="shared" si="37"/>
        <v>1669909.6932681927</v>
      </c>
      <c r="O74" s="130">
        <v>0.05</v>
      </c>
      <c r="P74" s="78">
        <f t="shared" si="28"/>
        <v>83495.484663409647</v>
      </c>
      <c r="Q74" s="135">
        <f>$Q$3</f>
        <v>0.23407892834770871</v>
      </c>
      <c r="R74" s="47">
        <f t="shared" si="29"/>
        <v>371346.13786578603</v>
      </c>
      <c r="S74" s="47">
        <f t="shared" si="30"/>
        <v>1215068.0707389971</v>
      </c>
    </row>
    <row r="75" spans="1:19" s="31" customFormat="1" x14ac:dyDescent="0.2">
      <c r="A75" s="44" t="s">
        <v>282</v>
      </c>
      <c r="B75" s="44" t="s">
        <v>690</v>
      </c>
      <c r="C75" s="45" t="s">
        <v>691</v>
      </c>
      <c r="D75" s="156">
        <v>0</v>
      </c>
      <c r="E75" s="155" t="s">
        <v>749</v>
      </c>
      <c r="F75" s="55"/>
      <c r="G75" s="45"/>
      <c r="H75" s="45" t="s">
        <v>585</v>
      </c>
      <c r="I75" s="47">
        <v>1013000</v>
      </c>
      <c r="J75" s="47"/>
      <c r="K75" s="48">
        <f>VLOOKUP(A75,'Escalation Factors'!$C$18:$D$28,2,FALSE)</f>
        <v>1.7920392732379322</v>
      </c>
      <c r="L75" s="47">
        <f t="shared" ref="L75:L90" si="39">I75*K75</f>
        <v>1815335.7837900254</v>
      </c>
      <c r="M75" s="47">
        <f t="shared" ref="M75:M90" si="40">L75*$M$3</f>
        <v>37886.057807697827</v>
      </c>
      <c r="N75" s="47">
        <f t="shared" ref="N75:N90" si="41">L75+M75</f>
        <v>1853221.8415977233</v>
      </c>
      <c r="O75" s="130">
        <v>1</v>
      </c>
      <c r="P75" s="78">
        <f t="shared" si="28"/>
        <v>1853221.8415977233</v>
      </c>
      <c r="Q75" s="152">
        <v>0</v>
      </c>
      <c r="R75" s="47">
        <f t="shared" si="29"/>
        <v>0</v>
      </c>
      <c r="S75" s="47">
        <f t="shared" si="30"/>
        <v>0</v>
      </c>
    </row>
    <row r="76" spans="1:19" s="31" customFormat="1" x14ac:dyDescent="0.2">
      <c r="A76" s="44" t="s">
        <v>282</v>
      </c>
      <c r="B76" s="44" t="s">
        <v>684</v>
      </c>
      <c r="C76" s="45" t="s">
        <v>685</v>
      </c>
      <c r="D76" s="154" t="s">
        <v>907</v>
      </c>
      <c r="E76" s="155" t="s">
        <v>749</v>
      </c>
      <c r="F76" s="55"/>
      <c r="G76" s="45"/>
      <c r="H76" s="45" t="s">
        <v>585</v>
      </c>
      <c r="I76" s="73" t="s">
        <v>354</v>
      </c>
      <c r="J76" s="47">
        <v>125000</v>
      </c>
      <c r="K76" s="434">
        <f>VLOOKUP(A76,'Escalation Factors'!$C$18:$H$31,6,FALSE)</f>
        <v>1.4602074832540217</v>
      </c>
      <c r="L76" s="47">
        <f t="shared" ref="L76:L77" si="42">J76*K76</f>
        <v>182525.93540675272</v>
      </c>
      <c r="M76" s="47">
        <f t="shared" si="40"/>
        <v>3809.3162719389293</v>
      </c>
      <c r="N76" s="47">
        <f t="shared" si="41"/>
        <v>186335.25167869165</v>
      </c>
      <c r="O76" s="130">
        <v>0.95</v>
      </c>
      <c r="P76" s="78">
        <f t="shared" si="28"/>
        <v>177018.48909475707</v>
      </c>
      <c r="Q76" s="135">
        <f>$Q$3</f>
        <v>0.23407892834770871</v>
      </c>
      <c r="R76" s="47">
        <f t="shared" si="29"/>
        <v>2180.8578013174374</v>
      </c>
      <c r="S76" s="47">
        <f t="shared" si="30"/>
        <v>7135.9047826171482</v>
      </c>
    </row>
    <row r="77" spans="1:19" s="31" customFormat="1" x14ac:dyDescent="0.2">
      <c r="A77" s="44" t="s">
        <v>282</v>
      </c>
      <c r="B77" s="44" t="s">
        <v>671</v>
      </c>
      <c r="C77" s="45" t="s">
        <v>672</v>
      </c>
      <c r="D77" s="46">
        <v>2.839</v>
      </c>
      <c r="E77" s="71" t="s">
        <v>747</v>
      </c>
      <c r="F77" s="55" t="s">
        <v>673</v>
      </c>
      <c r="G77" s="45"/>
      <c r="H77" s="45" t="s">
        <v>597</v>
      </c>
      <c r="I77" s="73" t="s">
        <v>354</v>
      </c>
      <c r="J77" s="47">
        <v>45000000</v>
      </c>
      <c r="K77" s="434">
        <f>VLOOKUP(A77,'Escalation Factors'!$C$18:$H$31,6,FALSE)</f>
        <v>1.4602074832540217</v>
      </c>
      <c r="L77" s="47">
        <f t="shared" si="42"/>
        <v>65709336.746430978</v>
      </c>
      <c r="M77" s="47">
        <f t="shared" si="40"/>
        <v>1371353.8578980146</v>
      </c>
      <c r="N77" s="47">
        <f t="shared" si="41"/>
        <v>67080690.60432899</v>
      </c>
      <c r="O77" s="130">
        <v>0.25</v>
      </c>
      <c r="P77" s="78">
        <f t="shared" si="28"/>
        <v>16770172.651082247</v>
      </c>
      <c r="Q77" s="135">
        <f>$Q$3</f>
        <v>0.23407892834770871</v>
      </c>
      <c r="R77" s="47">
        <f t="shared" si="29"/>
        <v>11776632.127114156</v>
      </c>
      <c r="S77" s="47">
        <f t="shared" si="30"/>
        <v>38533885.826132588</v>
      </c>
    </row>
    <row r="78" spans="1:19" s="31" customFormat="1" x14ac:dyDescent="0.2">
      <c r="A78" s="44" t="s">
        <v>282</v>
      </c>
      <c r="B78" s="44" t="s">
        <v>692</v>
      </c>
      <c r="C78" s="45" t="s">
        <v>693</v>
      </c>
      <c r="D78" s="46">
        <v>2.081</v>
      </c>
      <c r="E78" s="71" t="s">
        <v>749</v>
      </c>
      <c r="F78" s="55"/>
      <c r="G78" s="45"/>
      <c r="H78" s="45" t="s">
        <v>597</v>
      </c>
      <c r="I78" s="47">
        <v>2633000</v>
      </c>
      <c r="J78" s="47"/>
      <c r="K78" s="48">
        <f>VLOOKUP(A78,'Escalation Factors'!$C$18:$D$28,2,FALSE)</f>
        <v>1.7920392732379322</v>
      </c>
      <c r="L78" s="47">
        <f t="shared" si="39"/>
        <v>4718439.4064354757</v>
      </c>
      <c r="M78" s="47">
        <f t="shared" si="40"/>
        <v>98473.83041230838</v>
      </c>
      <c r="N78" s="47">
        <f t="shared" si="41"/>
        <v>4816913.2368477844</v>
      </c>
      <c r="O78" s="130">
        <v>1</v>
      </c>
      <c r="P78" s="78">
        <f t="shared" si="28"/>
        <v>4816913.2368477844</v>
      </c>
      <c r="Q78" s="152">
        <v>0</v>
      </c>
      <c r="R78" s="47">
        <f t="shared" si="29"/>
        <v>0</v>
      </c>
      <c r="S78" s="47">
        <f t="shared" si="30"/>
        <v>0</v>
      </c>
    </row>
    <row r="79" spans="1:19" s="31" customFormat="1" x14ac:dyDescent="0.2">
      <c r="A79" s="44" t="s">
        <v>282</v>
      </c>
      <c r="B79" s="44" t="s">
        <v>694</v>
      </c>
      <c r="C79" s="45" t="s">
        <v>695</v>
      </c>
      <c r="D79" s="154" t="s">
        <v>908</v>
      </c>
      <c r="E79" s="155" t="s">
        <v>747</v>
      </c>
      <c r="F79" s="55"/>
      <c r="G79" s="45"/>
      <c r="H79" s="45" t="s">
        <v>597</v>
      </c>
      <c r="I79" s="73" t="s">
        <v>354</v>
      </c>
      <c r="J79" s="47">
        <v>3204580</v>
      </c>
      <c r="K79" s="434">
        <f>VLOOKUP(A79,'Escalation Factors'!$C$18:$H$31,6,FALSE)</f>
        <v>1.4602074832540217</v>
      </c>
      <c r="L79" s="47">
        <f t="shared" ref="L79" si="43">J79*K79</f>
        <v>4679351.6966861729</v>
      </c>
      <c r="M79" s="47">
        <f t="shared" ref="M79" si="44">L79*$M$3</f>
        <v>97658.069909840429</v>
      </c>
      <c r="N79" s="47">
        <f t="shared" ref="N79" si="45">L79+M79</f>
        <v>4777009.7665960137</v>
      </c>
      <c r="O79" s="130">
        <v>0.05</v>
      </c>
      <c r="P79" s="78">
        <f t="shared" si="28"/>
        <v>238850.48832980069</v>
      </c>
      <c r="Q79" s="135">
        <f>$Q$3</f>
        <v>0.23407892834770871</v>
      </c>
      <c r="R79" s="47">
        <f t="shared" si="29"/>
        <v>1062287.4605277663</v>
      </c>
      <c r="S79" s="47">
        <f t="shared" si="30"/>
        <v>3475871.8177384464</v>
      </c>
    </row>
    <row r="80" spans="1:19" s="31" customFormat="1" x14ac:dyDescent="0.2">
      <c r="A80" s="44" t="s">
        <v>282</v>
      </c>
      <c r="B80" s="44" t="s">
        <v>696</v>
      </c>
      <c r="C80" s="45" t="s">
        <v>697</v>
      </c>
      <c r="D80" s="156">
        <v>0</v>
      </c>
      <c r="E80" s="155" t="s">
        <v>749</v>
      </c>
      <c r="F80" s="55"/>
      <c r="G80" s="45"/>
      <c r="H80" s="45" t="s">
        <v>601</v>
      </c>
      <c r="I80" s="47">
        <v>17469000</v>
      </c>
      <c r="J80" s="47"/>
      <c r="K80" s="48">
        <f>VLOOKUP(A80,'Escalation Factors'!$C$18:$D$28,2,FALSE)</f>
        <v>1.7920392732379322</v>
      </c>
      <c r="L80" s="47">
        <f t="shared" si="39"/>
        <v>31305134.064193439</v>
      </c>
      <c r="M80" s="47">
        <f t="shared" si="40"/>
        <v>653338.14791971701</v>
      </c>
      <c r="N80" s="47">
        <f t="shared" si="41"/>
        <v>31958472.212113157</v>
      </c>
      <c r="O80" s="130">
        <v>0.05</v>
      </c>
      <c r="P80" s="78">
        <f t="shared" si="28"/>
        <v>1597923.610605658</v>
      </c>
      <c r="Q80" s="135">
        <f t="shared" ref="Q80:Q90" si="46">$Q$3</f>
        <v>0.23407892834770871</v>
      </c>
      <c r="R80" s="47">
        <f t="shared" si="29"/>
        <v>7106764.6806894019</v>
      </c>
      <c r="S80" s="47">
        <f t="shared" si="30"/>
        <v>23253783.920818098</v>
      </c>
    </row>
    <row r="81" spans="1:19" s="31" customFormat="1" x14ac:dyDescent="0.2">
      <c r="A81" s="44" t="s">
        <v>282</v>
      </c>
      <c r="B81" s="44" t="s">
        <v>698</v>
      </c>
      <c r="C81" s="45" t="s">
        <v>699</v>
      </c>
      <c r="D81" s="156">
        <v>0</v>
      </c>
      <c r="E81" s="155" t="s">
        <v>749</v>
      </c>
      <c r="F81" s="55"/>
      <c r="G81" s="45"/>
      <c r="H81" s="45" t="s">
        <v>601</v>
      </c>
      <c r="I81" s="47">
        <v>10529000</v>
      </c>
      <c r="J81" s="47"/>
      <c r="K81" s="48">
        <f>VLOOKUP(A81,'Escalation Factors'!$C$18:$D$28,2,FALSE)</f>
        <v>1.7920392732379322</v>
      </c>
      <c r="L81" s="47">
        <f t="shared" si="39"/>
        <v>18868381.507922187</v>
      </c>
      <c r="M81" s="47">
        <f t="shared" si="40"/>
        <v>393783.12207033607</v>
      </c>
      <c r="N81" s="47">
        <f t="shared" si="41"/>
        <v>19262164.629992522</v>
      </c>
      <c r="O81" s="130">
        <v>0.5</v>
      </c>
      <c r="P81" s="78">
        <f t="shared" si="28"/>
        <v>9631082.3149962611</v>
      </c>
      <c r="Q81" s="135">
        <f t="shared" si="46"/>
        <v>0.23407892834770871</v>
      </c>
      <c r="R81" s="47">
        <f t="shared" si="29"/>
        <v>2254433.4271228942</v>
      </c>
      <c r="S81" s="47">
        <f t="shared" si="30"/>
        <v>7376648.8878733665</v>
      </c>
    </row>
    <row r="82" spans="1:19" s="31" customFormat="1" x14ac:dyDescent="0.2">
      <c r="A82" s="44" t="s">
        <v>282</v>
      </c>
      <c r="B82" s="44" t="s">
        <v>700</v>
      </c>
      <c r="C82" s="45" t="s">
        <v>701</v>
      </c>
      <c r="D82" s="154" t="s">
        <v>909</v>
      </c>
      <c r="E82" s="155" t="s">
        <v>747</v>
      </c>
      <c r="F82" s="55"/>
      <c r="G82" s="45"/>
      <c r="H82" s="45" t="s">
        <v>601</v>
      </c>
      <c r="I82" s="73" t="s">
        <v>354</v>
      </c>
      <c r="J82" s="47">
        <v>8000000</v>
      </c>
      <c r="K82" s="434">
        <f>VLOOKUP(A82,'Escalation Factors'!$C$18:$H$31,6,FALSE)</f>
        <v>1.4602074832540217</v>
      </c>
      <c r="L82" s="47">
        <f t="shared" ref="L82:L88" si="47">J82*K82</f>
        <v>11681659.866032174</v>
      </c>
      <c r="M82" s="47">
        <f t="shared" ref="M82:M88" si="48">L82*$M$3</f>
        <v>243796.24140409147</v>
      </c>
      <c r="N82" s="47">
        <f t="shared" ref="N82:N88" si="49">L82+M82</f>
        <v>11925456.107436266</v>
      </c>
      <c r="O82" s="130">
        <f>1-0.95</f>
        <v>5.0000000000000044E-2</v>
      </c>
      <c r="P82" s="78">
        <f t="shared" si="28"/>
        <v>596272.80537181383</v>
      </c>
      <c r="Q82" s="135">
        <f t="shared" si="46"/>
        <v>0.23407892834770871</v>
      </c>
      <c r="R82" s="47">
        <f t="shared" si="29"/>
        <v>2651923.0864020027</v>
      </c>
      <c r="S82" s="47">
        <f t="shared" si="30"/>
        <v>8677260.2156624496</v>
      </c>
    </row>
    <row r="83" spans="1:19" s="31" customFormat="1" x14ac:dyDescent="0.2">
      <c r="A83" s="44" t="s">
        <v>282</v>
      </c>
      <c r="B83" s="44" t="s">
        <v>910</v>
      </c>
      <c r="C83" s="66" t="s">
        <v>608</v>
      </c>
      <c r="D83" s="54" t="s">
        <v>911</v>
      </c>
      <c r="E83" s="71" t="s">
        <v>747</v>
      </c>
      <c r="F83" s="55" t="s">
        <v>912</v>
      </c>
      <c r="G83" s="45" t="s">
        <v>913</v>
      </c>
      <c r="H83" s="45"/>
      <c r="I83" s="73" t="s">
        <v>354</v>
      </c>
      <c r="J83" s="47">
        <v>15500000</v>
      </c>
      <c r="K83" s="434">
        <f>VLOOKUP(A83,'Escalation Factors'!$C$18:$H$31,6,FALSE)</f>
        <v>1.4602074832540217</v>
      </c>
      <c r="L83" s="47">
        <f t="shared" si="47"/>
        <v>22633215.990437336</v>
      </c>
      <c r="M83" s="47">
        <f t="shared" si="48"/>
        <v>472355.2177204272</v>
      </c>
      <c r="N83" s="47">
        <f t="shared" si="49"/>
        <v>23105571.208157763</v>
      </c>
      <c r="O83" s="130">
        <v>0.5</v>
      </c>
      <c r="P83" s="78">
        <f t="shared" si="28"/>
        <v>11552785.604078881</v>
      </c>
      <c r="Q83" s="135">
        <f t="shared" si="46"/>
        <v>0.23407892834770871</v>
      </c>
      <c r="R83" s="47">
        <f t="shared" si="29"/>
        <v>2704263.6736336211</v>
      </c>
      <c r="S83" s="47">
        <f t="shared" si="30"/>
        <v>8848521.9304452613</v>
      </c>
    </row>
    <row r="84" spans="1:19" s="31" customFormat="1" x14ac:dyDescent="0.2">
      <c r="A84" s="44" t="s">
        <v>282</v>
      </c>
      <c r="B84" s="44" t="s">
        <v>623</v>
      </c>
      <c r="C84" s="66" t="s">
        <v>624</v>
      </c>
      <c r="D84" s="46">
        <v>2.7440000000000002</v>
      </c>
      <c r="E84" s="71" t="s">
        <v>749</v>
      </c>
      <c r="F84" s="55"/>
      <c r="G84" s="45" t="s">
        <v>914</v>
      </c>
      <c r="H84" s="45"/>
      <c r="I84" s="73" t="s">
        <v>354</v>
      </c>
      <c r="J84" s="47">
        <v>2750000</v>
      </c>
      <c r="K84" s="434">
        <f>VLOOKUP(A84,'Escalation Factors'!$C$18:$H$31,6,FALSE)</f>
        <v>1.4602074832540217</v>
      </c>
      <c r="L84" s="47">
        <f t="shared" si="47"/>
        <v>4015570.5789485597</v>
      </c>
      <c r="M84" s="47">
        <f t="shared" si="48"/>
        <v>83804.957982656444</v>
      </c>
      <c r="N84" s="47">
        <f t="shared" si="49"/>
        <v>4099375.5369312163</v>
      </c>
      <c r="O84" s="130">
        <v>0.25</v>
      </c>
      <c r="P84" s="78">
        <f t="shared" si="28"/>
        <v>1024843.8842328041</v>
      </c>
      <c r="Q84" s="135">
        <f t="shared" si="46"/>
        <v>0.23407892834770871</v>
      </c>
      <c r="R84" s="47">
        <f t="shared" si="29"/>
        <v>719683.07443475409</v>
      </c>
      <c r="S84" s="47">
        <f t="shared" si="30"/>
        <v>2354848.5782636581</v>
      </c>
    </row>
    <row r="85" spans="1:19" s="31" customFormat="1" x14ac:dyDescent="0.2">
      <c r="A85" s="44" t="s">
        <v>282</v>
      </c>
      <c r="B85" s="44" t="s">
        <v>625</v>
      </c>
      <c r="C85" s="66" t="s">
        <v>626</v>
      </c>
      <c r="D85" s="46">
        <v>2.742</v>
      </c>
      <c r="E85" s="71" t="s">
        <v>749</v>
      </c>
      <c r="F85" s="55" t="s">
        <v>915</v>
      </c>
      <c r="G85" s="55" t="s">
        <v>914</v>
      </c>
      <c r="H85" s="45"/>
      <c r="I85" s="73" t="s">
        <v>354</v>
      </c>
      <c r="J85" s="47">
        <v>3000000</v>
      </c>
      <c r="K85" s="434">
        <f>VLOOKUP(A85,'Escalation Factors'!$C$18:$H$31,6,FALSE)</f>
        <v>1.4602074832540217</v>
      </c>
      <c r="L85" s="47">
        <f t="shared" si="47"/>
        <v>4380622.449762065</v>
      </c>
      <c r="M85" s="47">
        <f t="shared" si="48"/>
        <v>91423.590526534288</v>
      </c>
      <c r="N85" s="47">
        <f t="shared" si="49"/>
        <v>4472046.0402885992</v>
      </c>
      <c r="O85" s="130">
        <v>0.25</v>
      </c>
      <c r="P85" s="78">
        <f t="shared" si="28"/>
        <v>1118011.5100721498</v>
      </c>
      <c r="Q85" s="135">
        <f t="shared" si="46"/>
        <v>0.23407892834770871</v>
      </c>
      <c r="R85" s="47">
        <f t="shared" si="29"/>
        <v>785108.80847427715</v>
      </c>
      <c r="S85" s="47">
        <f t="shared" si="30"/>
        <v>2568925.7217421723</v>
      </c>
    </row>
    <row r="86" spans="1:19" s="31" customFormat="1" x14ac:dyDescent="0.2">
      <c r="A86" s="44" t="s">
        <v>282</v>
      </c>
      <c r="B86" s="44" t="s">
        <v>634</v>
      </c>
      <c r="C86" s="66" t="s">
        <v>635</v>
      </c>
      <c r="D86" s="46">
        <v>2.992</v>
      </c>
      <c r="E86" s="71" t="s">
        <v>747</v>
      </c>
      <c r="F86" s="55"/>
      <c r="G86" s="149" t="s">
        <v>865</v>
      </c>
      <c r="H86" s="45"/>
      <c r="I86" s="73" t="s">
        <v>354</v>
      </c>
      <c r="J86" s="47">
        <v>5000000</v>
      </c>
      <c r="K86" s="434">
        <f>VLOOKUP(A86,'Escalation Factors'!$C$18:$H$31,6,FALSE)</f>
        <v>1.4602074832540217</v>
      </c>
      <c r="L86" s="47">
        <f t="shared" si="47"/>
        <v>7301037.4162701089</v>
      </c>
      <c r="M86" s="47">
        <f t="shared" si="48"/>
        <v>152372.65087755717</v>
      </c>
      <c r="N86" s="47">
        <f t="shared" si="49"/>
        <v>7453410.0671476657</v>
      </c>
      <c r="O86" s="130">
        <f>1-0.95</f>
        <v>5.0000000000000044E-2</v>
      </c>
      <c r="P86" s="78">
        <f t="shared" si="28"/>
        <v>372670.5033573836</v>
      </c>
      <c r="Q86" s="135">
        <f t="shared" si="46"/>
        <v>0.23407892834770871</v>
      </c>
      <c r="R86" s="47">
        <f t="shared" si="29"/>
        <v>1657451.9290012517</v>
      </c>
      <c r="S86" s="47">
        <f t="shared" si="30"/>
        <v>5423287.634789031</v>
      </c>
    </row>
    <row r="87" spans="1:19" s="31" customFormat="1" x14ac:dyDescent="0.2">
      <c r="A87" s="44" t="s">
        <v>282</v>
      </c>
      <c r="B87" s="44" t="s">
        <v>636</v>
      </c>
      <c r="C87" s="66" t="s">
        <v>637</v>
      </c>
      <c r="D87" s="46" t="s">
        <v>638</v>
      </c>
      <c r="E87" s="71" t="s">
        <v>747</v>
      </c>
      <c r="F87" s="55"/>
      <c r="G87" s="149" t="s">
        <v>865</v>
      </c>
      <c r="H87" s="45"/>
      <c r="I87" s="73" t="s">
        <v>354</v>
      </c>
      <c r="J87" s="47">
        <v>18250000</v>
      </c>
      <c r="K87" s="434">
        <f>VLOOKUP(A87,'Escalation Factors'!$C$18:$H$31,6,FALSE)</f>
        <v>1.4602074832540217</v>
      </c>
      <c r="L87" s="47">
        <f t="shared" si="47"/>
        <v>26648786.569385897</v>
      </c>
      <c r="M87" s="47">
        <f t="shared" si="48"/>
        <v>556160.17570308363</v>
      </c>
      <c r="N87" s="47">
        <f t="shared" si="49"/>
        <v>27204946.74508898</v>
      </c>
      <c r="O87" s="130">
        <f>1-0.95</f>
        <v>5.0000000000000044E-2</v>
      </c>
      <c r="P87" s="78">
        <f t="shared" si="28"/>
        <v>1360247.3372544502</v>
      </c>
      <c r="Q87" s="135">
        <f t="shared" si="46"/>
        <v>0.23407892834770871</v>
      </c>
      <c r="R87" s="47">
        <f t="shared" si="29"/>
        <v>6049699.5408545686</v>
      </c>
      <c r="S87" s="47">
        <f t="shared" si="30"/>
        <v>19794999.86697996</v>
      </c>
    </row>
    <row r="88" spans="1:19" s="31" customFormat="1" x14ac:dyDescent="0.2">
      <c r="A88" s="44" t="s">
        <v>282</v>
      </c>
      <c r="B88" s="44" t="s">
        <v>642</v>
      </c>
      <c r="C88" s="66" t="s">
        <v>643</v>
      </c>
      <c r="D88" s="46">
        <v>2.9470000000000001</v>
      </c>
      <c r="E88" s="71" t="s">
        <v>749</v>
      </c>
      <c r="F88" s="55"/>
      <c r="G88" s="149" t="s">
        <v>865</v>
      </c>
      <c r="H88" s="45"/>
      <c r="I88" s="73" t="s">
        <v>354</v>
      </c>
      <c r="J88" s="47">
        <v>18250000</v>
      </c>
      <c r="K88" s="434">
        <f>VLOOKUP(A88,'Escalation Factors'!$C$18:$H$31,6,FALSE)</f>
        <v>1.4602074832540217</v>
      </c>
      <c r="L88" s="47">
        <f t="shared" si="47"/>
        <v>26648786.569385897</v>
      </c>
      <c r="M88" s="47">
        <f t="shared" si="48"/>
        <v>556160.17570308363</v>
      </c>
      <c r="N88" s="47">
        <f t="shared" si="49"/>
        <v>27204946.74508898</v>
      </c>
      <c r="O88" s="130">
        <f>1-0.95</f>
        <v>5.0000000000000044E-2</v>
      </c>
      <c r="P88" s="78">
        <f t="shared" si="28"/>
        <v>1360247.3372544502</v>
      </c>
      <c r="Q88" s="135">
        <f t="shared" si="46"/>
        <v>0.23407892834770871</v>
      </c>
      <c r="R88" s="47">
        <f t="shared" si="29"/>
        <v>6049699.5408545686</v>
      </c>
      <c r="S88" s="47">
        <f t="shared" si="30"/>
        <v>19794999.86697996</v>
      </c>
    </row>
    <row r="89" spans="1:19" s="31" customFormat="1" x14ac:dyDescent="0.2">
      <c r="A89" s="44" t="s">
        <v>282</v>
      </c>
      <c r="B89" s="44" t="s">
        <v>705</v>
      </c>
      <c r="C89" s="45" t="s">
        <v>706</v>
      </c>
      <c r="D89" s="156">
        <v>0</v>
      </c>
      <c r="E89" s="155" t="s">
        <v>749</v>
      </c>
      <c r="F89" s="55"/>
      <c r="G89" s="77" t="s">
        <v>916</v>
      </c>
      <c r="H89" s="45" t="s">
        <v>679</v>
      </c>
      <c r="I89" s="47">
        <v>24674000</v>
      </c>
      <c r="J89" s="47"/>
      <c r="K89" s="48">
        <f>VLOOKUP(A89,'Escalation Factors'!$C$18:$D$28,2,FALSE)</f>
        <v>1.7920392732379322</v>
      </c>
      <c r="L89" s="47">
        <f t="shared" si="39"/>
        <v>44216777.027872741</v>
      </c>
      <c r="M89" s="47">
        <f t="shared" si="40"/>
        <v>922804.13657170406</v>
      </c>
      <c r="N89" s="47">
        <f t="shared" si="41"/>
        <v>45139581.164444447</v>
      </c>
      <c r="O89" s="130">
        <v>0.05</v>
      </c>
      <c r="P89" s="78">
        <f t="shared" si="28"/>
        <v>2256979.0582222226</v>
      </c>
      <c r="Q89" s="135">
        <f t="shared" si="46"/>
        <v>0.23407892834770871</v>
      </c>
      <c r="R89" s="47">
        <f t="shared" si="29"/>
        <v>10037913.545785695</v>
      </c>
      <c r="S89" s="47">
        <f t="shared" si="30"/>
        <v>32844688.560436532</v>
      </c>
    </row>
    <row r="90" spans="1:19" s="31" customFormat="1" x14ac:dyDescent="0.2">
      <c r="A90" s="44" t="s">
        <v>282</v>
      </c>
      <c r="B90" s="44" t="s">
        <v>707</v>
      </c>
      <c r="C90" s="45" t="s">
        <v>708</v>
      </c>
      <c r="D90" s="46">
        <v>2.5870000000000002</v>
      </c>
      <c r="E90" s="71" t="s">
        <v>749</v>
      </c>
      <c r="F90" s="55"/>
      <c r="G90" s="45"/>
      <c r="H90" s="45" t="s">
        <v>709</v>
      </c>
      <c r="I90" s="47">
        <v>7439000</v>
      </c>
      <c r="J90" s="47"/>
      <c r="K90" s="48">
        <f>VLOOKUP(A90,'Escalation Factors'!$C$18:$D$28,2,FALSE)</f>
        <v>1.7920392732379322</v>
      </c>
      <c r="L90" s="47">
        <f t="shared" si="39"/>
        <v>13330980.153616978</v>
      </c>
      <c r="M90" s="47">
        <f t="shared" si="40"/>
        <v>278217.55580598634</v>
      </c>
      <c r="N90" s="47">
        <f t="shared" si="41"/>
        <v>13609197.709422965</v>
      </c>
      <c r="O90" s="130">
        <v>0.05</v>
      </c>
      <c r="P90" s="78">
        <f t="shared" si="28"/>
        <v>680459.8854711483</v>
      </c>
      <c r="Q90" s="135">
        <f t="shared" si="46"/>
        <v>0.23407892834770871</v>
      </c>
      <c r="R90" s="47">
        <f t="shared" si="29"/>
        <v>3026345.0947191287</v>
      </c>
      <c r="S90" s="47">
        <f t="shared" si="30"/>
        <v>9902392.7292326875</v>
      </c>
    </row>
    <row r="91" spans="1:19" s="58" customFormat="1" ht="15" x14ac:dyDescent="0.25">
      <c r="A91" s="57" t="s">
        <v>282</v>
      </c>
      <c r="B91" s="57"/>
      <c r="D91" s="59"/>
      <c r="E91" s="57"/>
      <c r="H91" s="59" t="s">
        <v>351</v>
      </c>
      <c r="I91" s="60">
        <f>SUBTOTAL(9,I68:I90)</f>
        <v>66009000</v>
      </c>
      <c r="J91" s="60">
        <f>SUBTOTAL(9,J68:J90)</f>
        <v>150653812</v>
      </c>
      <c r="K91" s="60"/>
      <c r="L91" s="60">
        <f>SUBTOTAL(9,L68:L90)</f>
        <v>338276544.05030721</v>
      </c>
      <c r="M91" s="60">
        <f>SUBTOTAL(9,M68:M90)</f>
        <v>7059831.4743299121</v>
      </c>
      <c r="N91" s="60">
        <f>SUBTOTAL(9,N68:N90)</f>
        <v>345336375.5246371</v>
      </c>
      <c r="O91" s="136"/>
      <c r="P91" s="60">
        <f>SUBTOTAL(9,P68:P90)</f>
        <v>66040141.916174449</v>
      </c>
      <c r="Q91" s="61"/>
      <c r="R91" s="60">
        <f>SUBTOTAL(9,R68:R90)</f>
        <v>65377363.054620236</v>
      </c>
      <c r="S91" s="60">
        <f>SUBTOTAL(9,S68:S90)</f>
        <v>213918870.55384246</v>
      </c>
    </row>
    <row r="92" spans="1:19" s="31" customFormat="1" x14ac:dyDescent="0.2">
      <c r="A92" s="44" t="s">
        <v>283</v>
      </c>
      <c r="B92" s="44" t="s">
        <v>760</v>
      </c>
      <c r="C92" s="45" t="s">
        <v>779</v>
      </c>
      <c r="D92" s="156" t="s">
        <v>354</v>
      </c>
      <c r="E92" s="155" t="s">
        <v>749</v>
      </c>
      <c r="F92" s="55" t="s">
        <v>354</v>
      </c>
      <c r="G92" s="55"/>
      <c r="H92" s="45"/>
      <c r="I92" s="47" t="s">
        <v>354</v>
      </c>
      <c r="J92" s="47">
        <v>3000000</v>
      </c>
      <c r="K92" s="434">
        <f>VLOOKUP(A92,'Escalation Factors'!$C$18:$H$31,6,FALSE)</f>
        <v>1.847452143019257</v>
      </c>
      <c r="L92" s="47">
        <f t="shared" ref="L92:L94" si="50">J92*K92</f>
        <v>5542356.4290577713</v>
      </c>
      <c r="M92" s="47">
        <f t="shared" ref="M92:M94" si="51">L92*$M$3</f>
        <v>115668.97867443568</v>
      </c>
      <c r="N92" s="47">
        <f t="shared" ref="N92:N94" si="52">L92+M92</f>
        <v>5658025.4077322073</v>
      </c>
      <c r="O92" s="130">
        <v>0.83</v>
      </c>
      <c r="P92" s="78">
        <f t="shared" ref="P92:P106" si="53">N92*O92</f>
        <v>4696161.0884177322</v>
      </c>
      <c r="Q92" s="135">
        <f>$Q$3</f>
        <v>0.23407892834770871</v>
      </c>
      <c r="R92" s="47">
        <f t="shared" ref="R92:R106" si="54">(N92-P92)*Q92</f>
        <v>225152.16908103065</v>
      </c>
      <c r="S92" s="47">
        <f t="shared" ref="S92:S106" si="55">N92-P92-R92</f>
        <v>736712.15023344452</v>
      </c>
    </row>
    <row r="93" spans="1:19" s="31" customFormat="1" x14ac:dyDescent="0.2">
      <c r="A93" s="44" t="s">
        <v>283</v>
      </c>
      <c r="B93" s="44" t="s">
        <v>714</v>
      </c>
      <c r="C93" s="45" t="s">
        <v>715</v>
      </c>
      <c r="D93" s="156">
        <v>0</v>
      </c>
      <c r="E93" s="155" t="s">
        <v>749</v>
      </c>
      <c r="F93" s="55" t="s">
        <v>354</v>
      </c>
      <c r="G93" s="55" t="s">
        <v>917</v>
      </c>
      <c r="H93" s="45" t="s">
        <v>585</v>
      </c>
      <c r="I93" s="47" t="s">
        <v>354</v>
      </c>
      <c r="J93" s="47">
        <v>161800000</v>
      </c>
      <c r="K93" s="434">
        <f>VLOOKUP(A93,'Escalation Factors'!$C$18:$H$31,6,FALSE)</f>
        <v>1.847452143019257</v>
      </c>
      <c r="L93" s="47">
        <f t="shared" si="50"/>
        <v>298917756.74051577</v>
      </c>
      <c r="M93" s="47">
        <f t="shared" si="51"/>
        <v>6238413.5831745639</v>
      </c>
      <c r="N93" s="47">
        <f t="shared" si="52"/>
        <v>305156170.32369035</v>
      </c>
      <c r="O93" s="130">
        <f>1-0.43</f>
        <v>0.57000000000000006</v>
      </c>
      <c r="P93" s="78">
        <f t="shared" si="53"/>
        <v>173939017.08450353</v>
      </c>
      <c r="Q93" s="135">
        <f t="shared" ref="Q93:Q106" si="56">$Q$3</f>
        <v>0.23407892834770871</v>
      </c>
      <c r="R93" s="47">
        <f t="shared" si="54"/>
        <v>30715170.611065928</v>
      </c>
      <c r="S93" s="47">
        <f t="shared" si="55"/>
        <v>100501982.6281209</v>
      </c>
    </row>
    <row r="94" spans="1:19" s="31" customFormat="1" x14ac:dyDescent="0.2">
      <c r="A94" s="44" t="s">
        <v>283</v>
      </c>
      <c r="B94" s="44" t="s">
        <v>714</v>
      </c>
      <c r="C94" s="45" t="s">
        <v>734</v>
      </c>
      <c r="D94" s="156">
        <v>0</v>
      </c>
      <c r="E94" s="155" t="s">
        <v>749</v>
      </c>
      <c r="F94" s="55" t="s">
        <v>354</v>
      </c>
      <c r="G94" s="55" t="s">
        <v>917</v>
      </c>
      <c r="H94" s="45" t="s">
        <v>198</v>
      </c>
      <c r="I94" s="47" t="s">
        <v>354</v>
      </c>
      <c r="J94" s="47">
        <v>202600000</v>
      </c>
      <c r="K94" s="434">
        <f>VLOOKUP(A94,'Escalation Factors'!$C$18:$H$31,6,FALSE)</f>
        <v>1.847452143019257</v>
      </c>
      <c r="L94" s="47">
        <f t="shared" si="50"/>
        <v>374293804.17570144</v>
      </c>
      <c r="M94" s="47">
        <f t="shared" si="51"/>
        <v>7811511.6931468891</v>
      </c>
      <c r="N94" s="47">
        <f t="shared" si="52"/>
        <v>382105315.86884832</v>
      </c>
      <c r="O94" s="130">
        <f>1-0.35</f>
        <v>0.65</v>
      </c>
      <c r="P94" s="78">
        <f t="shared" si="53"/>
        <v>248368455.31475142</v>
      </c>
      <c r="Q94" s="135">
        <f t="shared" si="56"/>
        <v>0.23407892834770871</v>
      </c>
      <c r="R94" s="47">
        <f t="shared" si="54"/>
        <v>31304980.999089964</v>
      </c>
      <c r="S94" s="47">
        <f t="shared" si="55"/>
        <v>102431879.55500695</v>
      </c>
    </row>
    <row r="95" spans="1:19" s="31" customFormat="1" x14ac:dyDescent="0.2">
      <c r="A95" s="44" t="s">
        <v>283</v>
      </c>
      <c r="B95" s="44" t="s">
        <v>710</v>
      </c>
      <c r="C95" s="45" t="s">
        <v>711</v>
      </c>
      <c r="D95" s="154" t="s">
        <v>918</v>
      </c>
      <c r="E95" s="155" t="s">
        <v>747</v>
      </c>
      <c r="F95" s="55" t="s">
        <v>354</v>
      </c>
      <c r="G95" s="55"/>
      <c r="H95" s="45" t="s">
        <v>585</v>
      </c>
      <c r="I95" s="47">
        <v>10446000</v>
      </c>
      <c r="J95" s="47"/>
      <c r="K95" s="48">
        <f>VLOOKUP(A95,'Escalation Factors'!$C$18:$D$28,2,FALSE)</f>
        <v>2.2672851863081092</v>
      </c>
      <c r="L95" s="47">
        <f>I95*K95</f>
        <v>23684061.056174509</v>
      </c>
      <c r="M95" s="47">
        <f>L95*$M$3</f>
        <v>494286.35424236202</v>
      </c>
      <c r="N95" s="47">
        <f>L95+M95</f>
        <v>24178347.410416871</v>
      </c>
      <c r="O95" s="130">
        <v>0.75</v>
      </c>
      <c r="P95" s="78">
        <f t="shared" si="53"/>
        <v>18133760.557812653</v>
      </c>
      <c r="Q95" s="135">
        <f t="shared" si="56"/>
        <v>0.23407892834770871</v>
      </c>
      <c r="R95" s="47">
        <f t="shared" si="54"/>
        <v>1414910.4127622449</v>
      </c>
      <c r="S95" s="47">
        <f t="shared" si="55"/>
        <v>4629676.4398419727</v>
      </c>
    </row>
    <row r="96" spans="1:19" s="31" customFormat="1" x14ac:dyDescent="0.2">
      <c r="A96" s="44" t="s">
        <v>283</v>
      </c>
      <c r="B96" s="44" t="s">
        <v>712</v>
      </c>
      <c r="C96" s="45" t="s">
        <v>713</v>
      </c>
      <c r="D96" s="156">
        <v>0</v>
      </c>
      <c r="E96" s="155" t="s">
        <v>749</v>
      </c>
      <c r="F96" s="55" t="s">
        <v>354</v>
      </c>
      <c r="G96" s="55"/>
      <c r="H96" s="45" t="s">
        <v>585</v>
      </c>
      <c r="I96" s="47">
        <v>12572000</v>
      </c>
      <c r="J96" s="47"/>
      <c r="K96" s="48">
        <f>VLOOKUP(A96,'Escalation Factors'!$C$18:$D$28,2,FALSE)</f>
        <v>2.2672851863081092</v>
      </c>
      <c r="L96" s="47">
        <f t="shared" ref="L96:L106" si="57">I96*K96</f>
        <v>28504309.36226555</v>
      </c>
      <c r="M96" s="47">
        <f t="shared" ref="M96:M106" si="58">L96*$M$3</f>
        <v>594884.93639048201</v>
      </c>
      <c r="N96" s="47">
        <f t="shared" ref="N96:N110" si="59">L96+M96</f>
        <v>29099194.298656031</v>
      </c>
      <c r="O96" s="130">
        <v>0</v>
      </c>
      <c r="P96" s="78">
        <f t="shared" si="53"/>
        <v>0</v>
      </c>
      <c r="Q96" s="135">
        <f t="shared" si="56"/>
        <v>0.23407892834770871</v>
      </c>
      <c r="R96" s="47">
        <f t="shared" si="54"/>
        <v>6811508.2172111589</v>
      </c>
      <c r="S96" s="47">
        <f t="shared" si="55"/>
        <v>22287686.081444874</v>
      </c>
    </row>
    <row r="97" spans="1:19" s="31" customFormat="1" x14ac:dyDescent="0.2">
      <c r="A97" s="44" t="s">
        <v>283</v>
      </c>
      <c r="B97" s="44" t="s">
        <v>716</v>
      </c>
      <c r="C97" s="45" t="s">
        <v>717</v>
      </c>
      <c r="D97" s="156">
        <v>0</v>
      </c>
      <c r="E97" s="155" t="s">
        <v>749</v>
      </c>
      <c r="F97" s="55" t="s">
        <v>354</v>
      </c>
      <c r="G97" s="55"/>
      <c r="H97" s="45" t="s">
        <v>585</v>
      </c>
      <c r="I97" s="47">
        <v>4814000</v>
      </c>
      <c r="J97" s="47"/>
      <c r="K97" s="48">
        <f>VLOOKUP(A97,'Escalation Factors'!$C$18:$D$28,2,FALSE)</f>
        <v>2.2672851863081092</v>
      </c>
      <c r="L97" s="47">
        <f t="shared" si="57"/>
        <v>10914710.886887237</v>
      </c>
      <c r="M97" s="47">
        <f t="shared" si="58"/>
        <v>227790.01620933664</v>
      </c>
      <c r="N97" s="47">
        <f t="shared" si="59"/>
        <v>11142500.903096573</v>
      </c>
      <c r="O97" s="130">
        <v>0.25</v>
      </c>
      <c r="P97" s="78">
        <f t="shared" si="53"/>
        <v>2785625.2257741434</v>
      </c>
      <c r="Q97" s="135">
        <f t="shared" si="56"/>
        <v>0.23407892834770871</v>
      </c>
      <c r="R97" s="47">
        <f t="shared" si="54"/>
        <v>1956168.5028826669</v>
      </c>
      <c r="S97" s="47">
        <f t="shared" si="55"/>
        <v>6400707.1744397637</v>
      </c>
    </row>
    <row r="98" spans="1:19" s="31" customFormat="1" x14ac:dyDescent="0.2">
      <c r="A98" s="44" t="s">
        <v>283</v>
      </c>
      <c r="B98" s="44" t="s">
        <v>718</v>
      </c>
      <c r="C98" s="45" t="s">
        <v>719</v>
      </c>
      <c r="D98" s="156">
        <v>0</v>
      </c>
      <c r="E98" s="155" t="s">
        <v>749</v>
      </c>
      <c r="F98" s="55" t="s">
        <v>354</v>
      </c>
      <c r="G98" s="55"/>
      <c r="H98" s="45" t="s">
        <v>585</v>
      </c>
      <c r="I98" s="47">
        <v>12113000</v>
      </c>
      <c r="J98" s="47"/>
      <c r="K98" s="48">
        <f>VLOOKUP(A98,'Escalation Factors'!$C$18:$D$28,2,FALSE)</f>
        <v>2.2672851863081092</v>
      </c>
      <c r="L98" s="47">
        <f t="shared" si="57"/>
        <v>27463625.461750127</v>
      </c>
      <c r="M98" s="47">
        <f t="shared" si="58"/>
        <v>573165.86338672519</v>
      </c>
      <c r="N98" s="47">
        <f t="shared" si="59"/>
        <v>28036791.325136852</v>
      </c>
      <c r="O98" s="130">
        <v>0</v>
      </c>
      <c r="P98" s="78">
        <f t="shared" si="53"/>
        <v>0</v>
      </c>
      <c r="Q98" s="135">
        <f t="shared" si="56"/>
        <v>0.23407892834770871</v>
      </c>
      <c r="R98" s="47">
        <f t="shared" si="54"/>
        <v>6562822.0676963702</v>
      </c>
      <c r="S98" s="47">
        <f t="shared" si="55"/>
        <v>21473969.257440481</v>
      </c>
    </row>
    <row r="99" spans="1:19" s="31" customFormat="1" x14ac:dyDescent="0.2">
      <c r="A99" s="44" t="s">
        <v>283</v>
      </c>
      <c r="B99" s="44" t="s">
        <v>720</v>
      </c>
      <c r="C99" s="45" t="s">
        <v>721</v>
      </c>
      <c r="D99" s="156">
        <v>0</v>
      </c>
      <c r="E99" s="155" t="s">
        <v>749</v>
      </c>
      <c r="F99" s="55" t="s">
        <v>354</v>
      </c>
      <c r="G99" s="55"/>
      <c r="H99" s="45" t="s">
        <v>597</v>
      </c>
      <c r="I99" s="47">
        <v>168000</v>
      </c>
      <c r="J99" s="47"/>
      <c r="K99" s="48">
        <f>VLOOKUP(A99,'Escalation Factors'!$C$18:$D$28,2,FALSE)</f>
        <v>2.2672851863081092</v>
      </c>
      <c r="L99" s="47">
        <f t="shared" si="57"/>
        <v>380903.91129976232</v>
      </c>
      <c r="M99" s="47">
        <f t="shared" si="58"/>
        <v>7949.4646288260392</v>
      </c>
      <c r="N99" s="47">
        <f t="shared" si="59"/>
        <v>388853.37592858833</v>
      </c>
      <c r="O99" s="130">
        <v>1</v>
      </c>
      <c r="P99" s="78">
        <f t="shared" si="53"/>
        <v>388853.37592858833</v>
      </c>
      <c r="Q99" s="152">
        <v>0</v>
      </c>
      <c r="R99" s="47">
        <f t="shared" si="54"/>
        <v>0</v>
      </c>
      <c r="S99" s="47">
        <f t="shared" si="55"/>
        <v>0</v>
      </c>
    </row>
    <row r="100" spans="1:19" s="31" customFormat="1" x14ac:dyDescent="0.2">
      <c r="A100" s="44" t="s">
        <v>283</v>
      </c>
      <c r="B100" s="44" t="s">
        <v>722</v>
      </c>
      <c r="C100" s="45" t="s">
        <v>723</v>
      </c>
      <c r="D100" s="156">
        <v>0</v>
      </c>
      <c r="E100" s="155" t="s">
        <v>749</v>
      </c>
      <c r="F100" s="55" t="s">
        <v>354</v>
      </c>
      <c r="G100" s="55"/>
      <c r="H100" s="45" t="s">
        <v>597</v>
      </c>
      <c r="I100" s="47">
        <v>2934000</v>
      </c>
      <c r="J100" s="47"/>
      <c r="K100" s="48">
        <f>VLOOKUP(A100,'Escalation Factors'!$C$18:$D$28,2,FALSE)</f>
        <v>2.2672851863081092</v>
      </c>
      <c r="L100" s="47">
        <f t="shared" si="57"/>
        <v>6652214.7366279922</v>
      </c>
      <c r="M100" s="47">
        <f t="shared" si="58"/>
        <v>138831.72155342621</v>
      </c>
      <c r="N100" s="47">
        <f t="shared" si="59"/>
        <v>6791046.4581814185</v>
      </c>
      <c r="O100" s="130">
        <v>0.5</v>
      </c>
      <c r="P100" s="78">
        <f t="shared" si="53"/>
        <v>3395523.2290907092</v>
      </c>
      <c r="Q100" s="135">
        <f t="shared" ref="Q100:Q103" si="60">$Q$3</f>
        <v>0.23407892834770871</v>
      </c>
      <c r="R100" s="47">
        <f t="shared" si="54"/>
        <v>794820.43864530465</v>
      </c>
      <c r="S100" s="47">
        <f t="shared" si="55"/>
        <v>2600702.7904454046</v>
      </c>
    </row>
    <row r="101" spans="1:19" s="31" customFormat="1" x14ac:dyDescent="0.2">
      <c r="A101" s="44" t="s">
        <v>283</v>
      </c>
      <c r="B101" s="44" t="s">
        <v>724</v>
      </c>
      <c r="C101" s="45" t="s">
        <v>725</v>
      </c>
      <c r="D101" s="156">
        <v>0</v>
      </c>
      <c r="E101" s="155" t="s">
        <v>749</v>
      </c>
      <c r="F101" s="55" t="s">
        <v>354</v>
      </c>
      <c r="G101" s="55"/>
      <c r="H101" s="45" t="s">
        <v>597</v>
      </c>
      <c r="I101" s="47">
        <v>631000</v>
      </c>
      <c r="J101" s="47"/>
      <c r="K101" s="48">
        <f>VLOOKUP(A101,'Escalation Factors'!$C$18:$D$28,2,FALSE)</f>
        <v>2.2672851863081092</v>
      </c>
      <c r="L101" s="47">
        <f t="shared" si="57"/>
        <v>1430656.9525604169</v>
      </c>
      <c r="M101" s="47">
        <f t="shared" si="58"/>
        <v>29857.8105999359</v>
      </c>
      <c r="N101" s="47">
        <f t="shared" si="59"/>
        <v>1460514.7631603528</v>
      </c>
      <c r="O101" s="130">
        <v>0.25</v>
      </c>
      <c r="P101" s="78">
        <f t="shared" si="53"/>
        <v>365128.69079008821</v>
      </c>
      <c r="Q101" s="135">
        <f t="shared" si="60"/>
        <v>0.23407892834770871</v>
      </c>
      <c r="R101" s="47">
        <f t="shared" si="54"/>
        <v>256406.79794743727</v>
      </c>
      <c r="S101" s="47">
        <f t="shared" si="55"/>
        <v>838979.27442282741</v>
      </c>
    </row>
    <row r="102" spans="1:19" s="31" customFormat="1" x14ac:dyDescent="0.2">
      <c r="A102" s="44" t="s">
        <v>283</v>
      </c>
      <c r="B102" s="44" t="s">
        <v>726</v>
      </c>
      <c r="C102" s="45" t="s">
        <v>919</v>
      </c>
      <c r="D102" s="154" t="s">
        <v>354</v>
      </c>
      <c r="E102" s="155" t="s">
        <v>749</v>
      </c>
      <c r="F102" s="55"/>
      <c r="G102" s="55"/>
      <c r="H102" s="45" t="s">
        <v>597</v>
      </c>
      <c r="I102" s="47">
        <v>607000</v>
      </c>
      <c r="J102" s="47"/>
      <c r="K102" s="48">
        <f>VLOOKUP(A102,'Escalation Factors'!$C$18:$D$28,2,FALSE)</f>
        <v>2.2672851863081092</v>
      </c>
      <c r="L102" s="47">
        <f t="shared" ref="L102" si="61">I102*K102</f>
        <v>1376242.1080890223</v>
      </c>
      <c r="M102" s="47">
        <f t="shared" ref="M102" si="62">L102*$M$3</f>
        <v>28722.172795817896</v>
      </c>
      <c r="N102" s="47">
        <f t="shared" ref="N102" si="63">L102+M102</f>
        <v>1404964.2808848403</v>
      </c>
      <c r="O102" s="130">
        <f>1-0.75</f>
        <v>0.25</v>
      </c>
      <c r="P102" s="78">
        <f t="shared" si="53"/>
        <v>351241.07022121007</v>
      </c>
      <c r="Q102" s="135">
        <f t="shared" si="60"/>
        <v>0.23407892834770871</v>
      </c>
      <c r="R102" s="47">
        <f t="shared" si="54"/>
        <v>246654.39992724947</v>
      </c>
      <c r="S102" s="47">
        <f t="shared" si="55"/>
        <v>807068.81073638075</v>
      </c>
    </row>
    <row r="103" spans="1:19" s="31" customFormat="1" x14ac:dyDescent="0.2">
      <c r="A103" s="44" t="s">
        <v>283</v>
      </c>
      <c r="B103" s="44" t="s">
        <v>727</v>
      </c>
      <c r="C103" s="45" t="s">
        <v>728</v>
      </c>
      <c r="D103" s="156">
        <v>0</v>
      </c>
      <c r="E103" s="155" t="s">
        <v>749</v>
      </c>
      <c r="F103" s="55" t="s">
        <v>354</v>
      </c>
      <c r="G103" s="55"/>
      <c r="H103" s="45" t="s">
        <v>601</v>
      </c>
      <c r="I103" s="47">
        <v>13491000</v>
      </c>
      <c r="J103" s="47"/>
      <c r="K103" s="48">
        <f>VLOOKUP(A103,'Escalation Factors'!$C$18:$D$28,2,FALSE)</f>
        <v>2.2672851863081092</v>
      </c>
      <c r="L103" s="47">
        <f t="shared" si="57"/>
        <v>30587944.4484827</v>
      </c>
      <c r="M103" s="47">
        <f t="shared" si="58"/>
        <v>638370.40063983388</v>
      </c>
      <c r="N103" s="47">
        <f t="shared" si="59"/>
        <v>31226314.849122532</v>
      </c>
      <c r="O103" s="130">
        <v>0.25</v>
      </c>
      <c r="P103" s="78">
        <f t="shared" si="53"/>
        <v>7806578.7122806329</v>
      </c>
      <c r="Q103" s="135">
        <f t="shared" si="60"/>
        <v>0.23407892834770871</v>
      </c>
      <c r="R103" s="47">
        <f t="shared" si="54"/>
        <v>5482066.7370980596</v>
      </c>
      <c r="S103" s="47">
        <f t="shared" si="55"/>
        <v>17937669.39974384</v>
      </c>
    </row>
    <row r="104" spans="1:19" s="31" customFormat="1" x14ac:dyDescent="0.2">
      <c r="A104" s="44" t="s">
        <v>283</v>
      </c>
      <c r="B104" s="44" t="s">
        <v>731</v>
      </c>
      <c r="C104" s="45" t="s">
        <v>732</v>
      </c>
      <c r="D104" s="156">
        <v>0</v>
      </c>
      <c r="E104" s="155" t="s">
        <v>749</v>
      </c>
      <c r="F104" s="55" t="s">
        <v>354</v>
      </c>
      <c r="G104" s="55"/>
      <c r="H104" s="45" t="s">
        <v>601</v>
      </c>
      <c r="I104" s="47">
        <v>500000</v>
      </c>
      <c r="J104" s="47"/>
      <c r="K104" s="48">
        <f>VLOOKUP(A104,'Escalation Factors'!$C$18:$D$28,2,FALSE)</f>
        <v>2.2672851863081092</v>
      </c>
      <c r="L104" s="47">
        <f t="shared" si="57"/>
        <v>1133642.5931540546</v>
      </c>
      <c r="M104" s="47">
        <f t="shared" si="58"/>
        <v>23659.120919125118</v>
      </c>
      <c r="N104" s="47">
        <f t="shared" si="59"/>
        <v>1157301.7140731798</v>
      </c>
      <c r="O104" s="130">
        <v>1</v>
      </c>
      <c r="P104" s="78">
        <f t="shared" si="53"/>
        <v>1157301.7140731798</v>
      </c>
      <c r="Q104" s="152">
        <v>0</v>
      </c>
      <c r="R104" s="47">
        <f t="shared" si="54"/>
        <v>0</v>
      </c>
      <c r="S104" s="47">
        <f t="shared" si="55"/>
        <v>0</v>
      </c>
    </row>
    <row r="105" spans="1:19" s="31" customFormat="1" x14ac:dyDescent="0.2">
      <c r="A105" s="44" t="s">
        <v>283</v>
      </c>
      <c r="B105" s="44" t="s">
        <v>702</v>
      </c>
      <c r="C105" s="45" t="s">
        <v>733</v>
      </c>
      <c r="D105" s="156">
        <v>0</v>
      </c>
      <c r="E105" s="155" t="s">
        <v>749</v>
      </c>
      <c r="F105" s="55" t="s">
        <v>354</v>
      </c>
      <c r="G105" s="55"/>
      <c r="H105" s="45" t="s">
        <v>198</v>
      </c>
      <c r="I105" s="47">
        <v>25142000</v>
      </c>
      <c r="J105" s="47"/>
      <c r="K105" s="48">
        <f>VLOOKUP(A105,'Escalation Factors'!$C$18:$D$28,2,FALSE)</f>
        <v>2.2672851863081092</v>
      </c>
      <c r="L105" s="47">
        <f t="shared" si="57"/>
        <v>57004084.15415848</v>
      </c>
      <c r="M105" s="47">
        <f t="shared" si="58"/>
        <v>1189675.2362972875</v>
      </c>
      <c r="N105" s="47">
        <f t="shared" si="59"/>
        <v>58193759.390455768</v>
      </c>
      <c r="O105" s="130">
        <v>0.05</v>
      </c>
      <c r="P105" s="78">
        <f t="shared" si="53"/>
        <v>2909687.9695227887</v>
      </c>
      <c r="Q105" s="135">
        <f t="shared" si="56"/>
        <v>0.23407892834770871</v>
      </c>
      <c r="R105" s="47">
        <f t="shared" si="54"/>
        <v>12940836.192910181</v>
      </c>
      <c r="S105" s="47">
        <f t="shared" si="55"/>
        <v>42343235.228022799</v>
      </c>
    </row>
    <row r="106" spans="1:19" s="31" customFormat="1" x14ac:dyDescent="0.2">
      <c r="A106" s="44" t="s">
        <v>283</v>
      </c>
      <c r="B106" s="44" t="s">
        <v>920</v>
      </c>
      <c r="C106" s="45" t="s">
        <v>703</v>
      </c>
      <c r="D106" s="154" t="s">
        <v>921</v>
      </c>
      <c r="E106" s="155" t="s">
        <v>749</v>
      </c>
      <c r="F106" s="55" t="s">
        <v>704</v>
      </c>
      <c r="G106" s="55"/>
      <c r="H106" s="45" t="s">
        <v>198</v>
      </c>
      <c r="I106" s="47">
        <v>2997000</v>
      </c>
      <c r="J106" s="47"/>
      <c r="K106" s="48">
        <f>VLOOKUP(A106,'Escalation Factors'!$C$18:$D$28,2,FALSE)</f>
        <v>2.2672851863081092</v>
      </c>
      <c r="L106" s="47">
        <f t="shared" si="57"/>
        <v>6795053.7033654032</v>
      </c>
      <c r="M106" s="47">
        <f t="shared" si="58"/>
        <v>141812.77078923598</v>
      </c>
      <c r="N106" s="47">
        <f t="shared" si="59"/>
        <v>6936866.4741546391</v>
      </c>
      <c r="O106" s="130">
        <v>0.05</v>
      </c>
      <c r="P106" s="78">
        <f t="shared" si="53"/>
        <v>346843.32370773196</v>
      </c>
      <c r="Q106" s="135">
        <f t="shared" si="56"/>
        <v>0.23407892834770871</v>
      </c>
      <c r="R106" s="47">
        <f t="shared" si="54"/>
        <v>1542585.556843203</v>
      </c>
      <c r="S106" s="47">
        <f t="shared" si="55"/>
        <v>5047437.5936037041</v>
      </c>
    </row>
    <row r="107" spans="1:19" s="58" customFormat="1" ht="15" x14ac:dyDescent="0.25">
      <c r="A107" s="57" t="s">
        <v>283</v>
      </c>
      <c r="B107" s="57"/>
      <c r="D107" s="59"/>
      <c r="E107" s="57"/>
      <c r="H107" s="59" t="s">
        <v>351</v>
      </c>
      <c r="I107" s="60">
        <f>SUBTOTAL(9,I92:I106)</f>
        <v>86415000</v>
      </c>
      <c r="J107" s="60">
        <f>SUBTOTAL(9,J92:J106)</f>
        <v>367400000</v>
      </c>
      <c r="K107" s="60"/>
      <c r="L107" s="60">
        <f>SUBTOTAL(9,L92:L106)</f>
        <v>874681366.72009015</v>
      </c>
      <c r="M107" s="60">
        <f>SUBTOTAL(9,M92:M106)</f>
        <v>18254600.123448282</v>
      </c>
      <c r="N107" s="60">
        <f>SUBTOTAL(9,N92:N106)</f>
        <v>892935966.8435384</v>
      </c>
      <c r="O107" s="136"/>
      <c r="P107" s="60">
        <f>SUBTOTAL(9,P92:P106)</f>
        <v>464644177.35687441</v>
      </c>
      <c r="Q107" s="157"/>
      <c r="R107" s="60">
        <f>SUBTOTAL(9,R92:R106)</f>
        <v>100254083.1031608</v>
      </c>
      <c r="S107" s="60">
        <f>SUBTOTAL(9,S92:S106)</f>
        <v>328037706.38350344</v>
      </c>
    </row>
    <row r="108" spans="1:19" s="162" customFormat="1" ht="15" x14ac:dyDescent="0.25">
      <c r="A108" s="44" t="s">
        <v>284</v>
      </c>
      <c r="B108" s="44" t="s">
        <v>760</v>
      </c>
      <c r="C108" s="45" t="s">
        <v>779</v>
      </c>
      <c r="D108" s="158" t="s">
        <v>354</v>
      </c>
      <c r="E108" s="155" t="s">
        <v>749</v>
      </c>
      <c r="F108" s="159" t="s">
        <v>354</v>
      </c>
      <c r="G108" s="160"/>
      <c r="H108" s="161"/>
      <c r="I108" s="73"/>
      <c r="J108" s="47">
        <v>3000000</v>
      </c>
      <c r="K108" s="434">
        <f>VLOOKUP(A108,'Escalation Factors'!$C$18:$H$31,6,FALSE)</f>
        <v>2.3373934594147654</v>
      </c>
      <c r="L108" s="47">
        <f t="shared" ref="L108" si="64">J108*K108</f>
        <v>7012180.3782442966</v>
      </c>
      <c r="M108" s="47">
        <f t="shared" ref="M108" si="65">L108*$M$3</f>
        <v>146344.20449395847</v>
      </c>
      <c r="N108" s="47">
        <f t="shared" ref="N108" si="66">L108+M108</f>
        <v>7158524.5827382552</v>
      </c>
      <c r="O108" s="130">
        <f>1-0.17</f>
        <v>0.83</v>
      </c>
      <c r="P108" s="78">
        <f>N108*O108</f>
        <v>5941575.403672751</v>
      </c>
      <c r="Q108" s="135">
        <f>$Q$3</f>
        <v>0.23407892834770871</v>
      </c>
      <c r="R108" s="47">
        <f>(N108-P108)*Q108</f>
        <v>284862.15968927706</v>
      </c>
      <c r="S108" s="47">
        <f>N108-P108-R108</f>
        <v>932087.01937622705</v>
      </c>
    </row>
    <row r="109" spans="1:19" s="162" customFormat="1" ht="15" x14ac:dyDescent="0.25">
      <c r="A109" s="44" t="s">
        <v>284</v>
      </c>
      <c r="B109" s="44" t="s">
        <v>922</v>
      </c>
      <c r="C109" s="45" t="s">
        <v>923</v>
      </c>
      <c r="D109" s="158" t="s">
        <v>354</v>
      </c>
      <c r="E109" s="155" t="s">
        <v>749</v>
      </c>
      <c r="F109" s="159" t="s">
        <v>354</v>
      </c>
      <c r="G109" s="160"/>
      <c r="H109" s="161"/>
      <c r="I109" s="47">
        <v>6226000</v>
      </c>
      <c r="J109" s="47"/>
      <c r="K109" s="48">
        <f>VLOOKUP(A109,'Escalation Factors'!$C$18:$D$28,2,FALSE)</f>
        <v>2.8685655458677402</v>
      </c>
      <c r="L109" s="47">
        <f t="shared" ref="L109:L110" si="67">I109*K109</f>
        <v>17859689.088572551</v>
      </c>
      <c r="M109" s="47">
        <f t="shared" ref="M109:M110" si="68">L109*$M$3</f>
        <v>372731.71127850912</v>
      </c>
      <c r="N109" s="47">
        <f t="shared" si="59"/>
        <v>18232420.79985106</v>
      </c>
      <c r="O109" s="130">
        <f>1-0.5</f>
        <v>0.5</v>
      </c>
      <c r="P109" s="78">
        <f>N109*O109</f>
        <v>9116210.39992553</v>
      </c>
      <c r="Q109" s="135">
        <f t="shared" ref="Q109:Q110" si="69">$Q$3</f>
        <v>0.23407892834770871</v>
      </c>
      <c r="R109" s="47">
        <f>(N109-P109)*Q109</f>
        <v>2133912.7610068051</v>
      </c>
      <c r="S109" s="47">
        <f>N109-P109-R109</f>
        <v>6982297.6389187248</v>
      </c>
    </row>
    <row r="110" spans="1:19" s="162" customFormat="1" ht="15" x14ac:dyDescent="0.25">
      <c r="A110" s="44" t="s">
        <v>284</v>
      </c>
      <c r="B110" s="44" t="s">
        <v>924</v>
      </c>
      <c r="C110" s="45" t="s">
        <v>925</v>
      </c>
      <c r="D110" s="158" t="s">
        <v>354</v>
      </c>
      <c r="E110" s="155" t="s">
        <v>749</v>
      </c>
      <c r="F110" s="159" t="s">
        <v>354</v>
      </c>
      <c r="G110" s="160"/>
      <c r="H110" s="161"/>
      <c r="I110" s="47">
        <v>12403000</v>
      </c>
      <c r="J110" s="47"/>
      <c r="K110" s="48">
        <f>VLOOKUP(A110,'Escalation Factors'!$C$18:$D$28,2,FALSE)</f>
        <v>2.8685655458677402</v>
      </c>
      <c r="L110" s="47">
        <f t="shared" si="67"/>
        <v>35578818.465397581</v>
      </c>
      <c r="M110" s="47">
        <f t="shared" si="68"/>
        <v>742529.94137284753</v>
      </c>
      <c r="N110" s="47">
        <f t="shared" si="59"/>
        <v>36321348.406770431</v>
      </c>
      <c r="O110" s="130">
        <f>1-0.5</f>
        <v>0.5</v>
      </c>
      <c r="P110" s="78">
        <f>N110*O110</f>
        <v>18160674.203385215</v>
      </c>
      <c r="Q110" s="135">
        <f t="shared" si="69"/>
        <v>0.23407892834770871</v>
      </c>
      <c r="R110" s="47">
        <f>(N110-P110)*Q110</f>
        <v>4251031.1556002898</v>
      </c>
      <c r="S110" s="47">
        <f>N110-P110-R110</f>
        <v>13909643.047784925</v>
      </c>
    </row>
    <row r="111" spans="1:19" s="58" customFormat="1" ht="15" x14ac:dyDescent="0.25">
      <c r="A111" s="57" t="s">
        <v>284</v>
      </c>
      <c r="B111" s="57"/>
      <c r="D111" s="59"/>
      <c r="E111" s="57"/>
      <c r="H111" s="59" t="s">
        <v>351</v>
      </c>
      <c r="I111" s="60">
        <f>SUM(I108:I110)</f>
        <v>18629000</v>
      </c>
      <c r="J111" s="60">
        <f>SUM(J108:J110)</f>
        <v>3000000</v>
      </c>
      <c r="K111" s="60"/>
      <c r="L111" s="60">
        <f>SUM(L108:L110)</f>
        <v>60450687.932214424</v>
      </c>
      <c r="M111" s="60">
        <f>SUM(M108:M110)</f>
        <v>1261605.857145315</v>
      </c>
      <c r="N111" s="60">
        <f>SUM(N108:N110)</f>
        <v>61712293.789359748</v>
      </c>
      <c r="O111" s="136"/>
      <c r="P111" s="60">
        <f>SUM(P108:P110)</f>
        <v>33218460.006983496</v>
      </c>
      <c r="Q111" s="157"/>
      <c r="R111" s="60">
        <f>SUM(R108:R110)</f>
        <v>6669806.0762963723</v>
      </c>
      <c r="S111" s="60">
        <f>SUM(S108:S110)</f>
        <v>21824027.706079878</v>
      </c>
    </row>
    <row r="112" spans="1:19" s="31" customFormat="1" x14ac:dyDescent="0.2">
      <c r="A112" s="51"/>
      <c r="B112" s="51"/>
      <c r="D112" s="32"/>
      <c r="E112" s="34"/>
      <c r="I112" s="52"/>
      <c r="J112" s="52"/>
      <c r="K112" s="52"/>
      <c r="L112" s="52"/>
      <c r="M112" s="52"/>
      <c r="N112" s="52"/>
      <c r="O112" s="163"/>
      <c r="P112" s="52"/>
      <c r="Q112" s="76"/>
      <c r="R112" s="52"/>
      <c r="S112" s="52"/>
    </row>
    <row r="113" spans="1:19" s="31" customFormat="1" x14ac:dyDescent="0.2">
      <c r="A113" s="31" t="s">
        <v>482</v>
      </c>
      <c r="D113" s="32"/>
      <c r="E113" s="34"/>
      <c r="H113" s="32" t="s">
        <v>854</v>
      </c>
      <c r="I113" s="52">
        <f>SUBTOTAL(9,I6:I107)</f>
        <v>162743129.15454465</v>
      </c>
      <c r="J113" s="52">
        <f>SUBTOTAL(9,J6:J107)</f>
        <v>962238064</v>
      </c>
      <c r="K113" s="52"/>
      <c r="L113" s="52">
        <f>SUBTOTAL(9,L6:L107)</f>
        <v>1733819701.0453322</v>
      </c>
      <c r="M113" s="52">
        <f>SUBTOTAL(9,M6:M107)</f>
        <v>36184817.160816073</v>
      </c>
      <c r="N113" s="52">
        <f>SUBTOTAL(9,N6:N107)</f>
        <v>1823017493.3393643</v>
      </c>
      <c r="O113" s="163"/>
      <c r="P113" s="52">
        <f>SUBTOTAL(9,P6:P107)</f>
        <v>832190357.74908698</v>
      </c>
      <c r="Q113" s="164"/>
      <c r="R113" s="52">
        <f>R107+R91+R67+R42+R31+R29+R25+R22+R19+R15+R13+R11+R9+R7</f>
        <v>220664262.66290006</v>
      </c>
      <c r="S113" s="52">
        <f>S107+S91+S67+S42+S31+S29+S25+S22+S19+S15+S13+S11+S9+S7</f>
        <v>753204076.60154319</v>
      </c>
    </row>
    <row r="114" spans="1:19" x14ac:dyDescent="0.2">
      <c r="H114" s="32" t="s">
        <v>855</v>
      </c>
      <c r="I114" s="52">
        <f>I113-I107/5</f>
        <v>145460129.15454465</v>
      </c>
      <c r="J114" s="52">
        <f>J113-J107/5</f>
        <v>888758064</v>
      </c>
      <c r="L114" s="52">
        <f>L113-L107/5</f>
        <v>1558883427.7013142</v>
      </c>
      <c r="M114" s="52">
        <f>M113-M107/5</f>
        <v>32533897.136126418</v>
      </c>
      <c r="N114" s="52">
        <f>N113-N107/5</f>
        <v>1644430299.9706566</v>
      </c>
      <c r="P114" s="52">
        <f>P113-P107/5</f>
        <v>739261522.27771211</v>
      </c>
      <c r="R114" s="52">
        <f>R113-R107/5</f>
        <v>200613446.04226789</v>
      </c>
      <c r="S114" s="52">
        <f>S113-S107/5</f>
        <v>687596535.32484245</v>
      </c>
    </row>
    <row r="115" spans="1:19" x14ac:dyDescent="0.2">
      <c r="C115" s="82"/>
      <c r="D115" s="83"/>
      <c r="E115" s="167"/>
      <c r="F115" s="82"/>
      <c r="G115" s="82"/>
      <c r="H115" s="82"/>
      <c r="I115" s="84"/>
      <c r="J115" s="84"/>
      <c r="S115" s="84"/>
    </row>
    <row r="116" spans="1:19" x14ac:dyDescent="0.2">
      <c r="C116" s="82"/>
      <c r="D116" s="83"/>
      <c r="E116" s="167"/>
      <c r="F116" s="82"/>
      <c r="G116" s="82"/>
      <c r="H116" s="82"/>
      <c r="S116" s="84"/>
    </row>
  </sheetData>
  <autoFilter ref="A5:S5" xr:uid="{5A2B04DF-CEE3-415C-AF42-B2538A4F46B9}"/>
  <pageMargins left="0.7" right="0.7" top="0.75" bottom="0.75" header="0.3" footer="0.3"/>
  <pageSetup paperSize="5" scale="34" orientation="landscape" r:id="rId1"/>
  <ignoredErrors>
    <ignoredError sqref="D32:D34 D37:D38 D46:D53 D62:D66 D68:D87" numberStoredAsText="1"/>
    <ignoredError sqref="O62" 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200441DC-3EC2-41F6-ACFC-15F4EB2B36D6}">
          <x14:formula1>
            <xm:f>'2025 Water - Phase Costs'!#REF!</xm:f>
          </x14:formula1>
          <xm:sqref>E108:E110 E6:E106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3DA5D-2395-4BF1-8440-8E4CA0A2C5D4}">
  <sheetPr>
    <tabColor rgb="FFFF99FF"/>
    <pageSetUpPr fitToPage="1"/>
  </sheetPr>
  <dimension ref="A1:L62"/>
  <sheetViews>
    <sheetView zoomScaleNormal="100" workbookViewId="0">
      <selection sqref="A1:B1"/>
    </sheetView>
  </sheetViews>
  <sheetFormatPr defaultRowHeight="12.75" x14ac:dyDescent="0.2"/>
  <cols>
    <col min="1" max="1" width="70.42578125" bestFit="1" customWidth="1"/>
    <col min="2" max="2" width="23.7109375" bestFit="1" customWidth="1"/>
    <col min="3" max="3" width="9" customWidth="1"/>
    <col min="4" max="4" width="17.7109375" customWidth="1"/>
    <col min="5" max="6" width="16" customWidth="1"/>
    <col min="7" max="7" width="32" bestFit="1" customWidth="1"/>
    <col min="8" max="10" width="12.7109375" customWidth="1"/>
    <col min="11" max="13" width="10.28515625" bestFit="1" customWidth="1"/>
  </cols>
  <sheetData>
    <row r="1" spans="1:10" s="6" customFormat="1" ht="23.25" x14ac:dyDescent="0.35">
      <c r="A1" s="455" t="s">
        <v>735</v>
      </c>
      <c r="B1" s="455"/>
    </row>
    <row r="2" spans="1:10" ht="38.25" customHeight="1" x14ac:dyDescent="0.25">
      <c r="A2" s="10"/>
      <c r="B2" s="10"/>
      <c r="D2" s="288" t="s">
        <v>856</v>
      </c>
      <c r="E2" s="288" t="s">
        <v>857</v>
      </c>
      <c r="F2" s="87"/>
    </row>
    <row r="4" spans="1:10" x14ac:dyDescent="0.2">
      <c r="A4" s="45" t="s">
        <v>736</v>
      </c>
      <c r="B4" s="34" t="s">
        <v>485</v>
      </c>
      <c r="D4" s="88">
        <v>1157422151.7085063</v>
      </c>
      <c r="E4" s="88">
        <f>'2025 Wastewater - Phase Costs'!L114</f>
        <v>1558883427.7013142</v>
      </c>
      <c r="F4" s="34"/>
      <c r="G4" s="45"/>
    </row>
    <row r="5" spans="1:10" x14ac:dyDescent="0.2">
      <c r="B5" s="34"/>
      <c r="D5" s="88"/>
      <c r="E5" s="88"/>
      <c r="F5" s="168"/>
      <c r="G5" s="89"/>
    </row>
    <row r="6" spans="1:10" x14ac:dyDescent="0.2">
      <c r="A6" s="45" t="s">
        <v>486</v>
      </c>
      <c r="B6" s="34" t="s">
        <v>487</v>
      </c>
      <c r="C6" s="90" t="s">
        <v>488</v>
      </c>
      <c r="D6" s="88">
        <v>24155400.30615652</v>
      </c>
      <c r="E6" s="88">
        <f>'2025 Wastewater - Phase Costs'!M114</f>
        <v>32533897.136126418</v>
      </c>
      <c r="F6" s="168"/>
      <c r="G6" s="89"/>
    </row>
    <row r="7" spans="1:10" ht="13.5" thickBot="1" x14ac:dyDescent="0.25">
      <c r="B7" s="34"/>
      <c r="D7" s="88"/>
      <c r="E7" s="88"/>
      <c r="F7" s="168"/>
      <c r="G7" s="89"/>
    </row>
    <row r="8" spans="1:10" x14ac:dyDescent="0.2">
      <c r="A8" s="45" t="s">
        <v>737</v>
      </c>
      <c r="B8" s="34" t="s">
        <v>490</v>
      </c>
      <c r="D8" s="93">
        <f>D6+D4</f>
        <v>1181577552.014663</v>
      </c>
      <c r="E8" s="93">
        <f>E6+E4</f>
        <v>1591417324.8374407</v>
      </c>
      <c r="F8" s="168"/>
      <c r="G8" s="89"/>
    </row>
    <row r="9" spans="1:10" x14ac:dyDescent="0.2">
      <c r="B9" s="34"/>
      <c r="D9" s="88"/>
      <c r="E9" s="168"/>
      <c r="F9" s="168"/>
      <c r="G9" s="89"/>
      <c r="J9" s="45" t="s">
        <v>326</v>
      </c>
    </row>
    <row r="10" spans="1:10" x14ac:dyDescent="0.2">
      <c r="A10" s="45" t="s">
        <v>491</v>
      </c>
      <c r="B10" s="91" t="s">
        <v>492</v>
      </c>
      <c r="C10" s="90" t="s">
        <v>493</v>
      </c>
      <c r="D10" s="88">
        <v>557797552.99233329</v>
      </c>
      <c r="E10" s="88">
        <f>'2025 Wastewater - Phase Costs'!P114</f>
        <v>739261522.27771211</v>
      </c>
      <c r="F10" s="168"/>
      <c r="G10" s="89"/>
    </row>
    <row r="11" spans="1:10" x14ac:dyDescent="0.2">
      <c r="B11" s="34"/>
      <c r="D11" s="88"/>
      <c r="E11" s="88"/>
      <c r="F11" s="168"/>
      <c r="G11" s="89"/>
    </row>
    <row r="12" spans="1:10" x14ac:dyDescent="0.2">
      <c r="A12" s="45" t="s">
        <v>494</v>
      </c>
      <c r="B12" s="91" t="str">
        <f>_xlfn.CONCAT("(E) = ((C) - (D)) * ",TEXT('Population Projections'!C36 * 100,"0.0"),"%")</f>
        <v>(E) = ((C) - (D)) * 23.4%</v>
      </c>
      <c r="C12" s="90" t="s">
        <v>495</v>
      </c>
      <c r="D12" s="88">
        <v>137897127.37419105</v>
      </c>
      <c r="E12" s="88">
        <f>'2025 Wastewater - Phase Costs'!R114</f>
        <v>200613446.04226789</v>
      </c>
      <c r="F12" s="168"/>
      <c r="G12" s="89"/>
    </row>
    <row r="13" spans="1:10" ht="13.5" thickBot="1" x14ac:dyDescent="0.25">
      <c r="A13" s="45"/>
      <c r="B13" s="34"/>
      <c r="D13" s="88"/>
      <c r="E13" s="168"/>
      <c r="F13" s="168"/>
      <c r="G13" s="89"/>
    </row>
    <row r="14" spans="1:10" x14ac:dyDescent="0.2">
      <c r="A14" s="45" t="s">
        <v>738</v>
      </c>
      <c r="B14" s="34" t="s">
        <v>497</v>
      </c>
      <c r="D14" s="93">
        <v>474224467.06800812</v>
      </c>
      <c r="E14" s="93">
        <f>E8-E10-E12</f>
        <v>651542356.5174607</v>
      </c>
      <c r="F14" s="88"/>
      <c r="G14" s="89"/>
    </row>
    <row r="15" spans="1:10" x14ac:dyDescent="0.2">
      <c r="B15" s="34"/>
      <c r="D15" s="88"/>
      <c r="E15" s="168"/>
      <c r="F15" s="168"/>
      <c r="G15" s="89"/>
    </row>
    <row r="16" spans="1:10" x14ac:dyDescent="0.2">
      <c r="A16" s="45" t="s">
        <v>498</v>
      </c>
      <c r="B16" s="34" t="s">
        <v>499</v>
      </c>
      <c r="C16" s="90" t="s">
        <v>500</v>
      </c>
      <c r="D16" s="94">
        <v>-126600886.0187429</v>
      </c>
      <c r="E16" s="88">
        <f>'Wastewater - Financial Model'!L91</f>
        <v>-86817235.63457109</v>
      </c>
      <c r="F16" s="88"/>
      <c r="G16" s="89"/>
    </row>
    <row r="17" spans="1:7" ht="13.5" thickBot="1" x14ac:dyDescent="0.25">
      <c r="B17" s="34"/>
      <c r="D17" s="88"/>
      <c r="E17" s="168"/>
      <c r="F17" s="168"/>
      <c r="G17" s="89"/>
    </row>
    <row r="18" spans="1:7" ht="13.5" thickBot="1" x14ac:dyDescent="0.25">
      <c r="A18" s="45" t="s">
        <v>501</v>
      </c>
      <c r="B18" s="34" t="s">
        <v>502</v>
      </c>
      <c r="D18" s="169">
        <f>D14+D16</f>
        <v>347623581.04926521</v>
      </c>
      <c r="E18" s="169">
        <f>E14+E16</f>
        <v>564725120.88288963</v>
      </c>
      <c r="F18" s="88"/>
      <c r="G18" s="89"/>
    </row>
    <row r="19" spans="1:7" ht="13.5" thickTop="1" x14ac:dyDescent="0.2">
      <c r="B19" s="34"/>
      <c r="E19" s="168"/>
      <c r="F19" s="168"/>
      <c r="G19" s="89"/>
    </row>
    <row r="20" spans="1:7" x14ac:dyDescent="0.2">
      <c r="A20" s="45" t="s">
        <v>503</v>
      </c>
      <c r="B20" s="34" t="s">
        <v>504</v>
      </c>
      <c r="C20" s="45"/>
      <c r="D20" s="95">
        <f>D28/(D28+D30)</f>
        <v>0.63226034665723385</v>
      </c>
      <c r="E20" s="95">
        <f>D20</f>
        <v>0.63226034665723385</v>
      </c>
      <c r="F20" s="96"/>
      <c r="G20" s="89"/>
    </row>
    <row r="21" spans="1:7" x14ac:dyDescent="0.2">
      <c r="B21" s="34"/>
      <c r="D21" s="97"/>
      <c r="E21" s="97"/>
      <c r="F21" s="97"/>
      <c r="G21" s="89"/>
    </row>
    <row r="22" spans="1:7" x14ac:dyDescent="0.2">
      <c r="A22" s="45" t="s">
        <v>505</v>
      </c>
      <c r="B22" s="34" t="s">
        <v>506</v>
      </c>
      <c r="C22" s="45"/>
      <c r="D22" s="95">
        <f>D30/(D28+D30)</f>
        <v>0.3677396533427662</v>
      </c>
      <c r="E22" s="95">
        <f>D22</f>
        <v>0.3677396533427662</v>
      </c>
      <c r="F22" s="96"/>
      <c r="G22" s="89"/>
    </row>
    <row r="23" spans="1:7" x14ac:dyDescent="0.2">
      <c r="B23" s="34"/>
      <c r="C23" s="45"/>
      <c r="D23" s="99"/>
      <c r="E23" s="99"/>
      <c r="F23" s="99"/>
      <c r="G23" s="89"/>
    </row>
    <row r="24" spans="1:7" x14ac:dyDescent="0.2">
      <c r="A24" s="45" t="s">
        <v>507</v>
      </c>
      <c r="B24" s="34" t="s">
        <v>508</v>
      </c>
      <c r="C24" s="45"/>
      <c r="D24" s="100">
        <f>D20*D18</f>
        <v>219788605.86043745</v>
      </c>
      <c r="E24" s="100">
        <f>E20*E18</f>
        <v>357053300.69546407</v>
      </c>
      <c r="F24" s="100"/>
      <c r="G24" s="89"/>
    </row>
    <row r="25" spans="1:7" x14ac:dyDescent="0.2">
      <c r="B25" s="34"/>
      <c r="C25" s="45"/>
      <c r="D25" s="88"/>
      <c r="E25" s="88"/>
      <c r="F25" s="88"/>
      <c r="G25" s="89"/>
    </row>
    <row r="26" spans="1:7" x14ac:dyDescent="0.2">
      <c r="A26" s="45" t="s">
        <v>509</v>
      </c>
      <c r="B26" s="34" t="s">
        <v>510</v>
      </c>
      <c r="C26" s="31"/>
      <c r="D26" s="100">
        <f>D18*D22</f>
        <v>127834975.18882778</v>
      </c>
      <c r="E26" s="100">
        <f>E18*E22</f>
        <v>207671820.18742558</v>
      </c>
      <c r="F26" s="100"/>
      <c r="G26" s="89"/>
    </row>
    <row r="27" spans="1:7" x14ac:dyDescent="0.2">
      <c r="A27" s="45"/>
      <c r="B27" s="34"/>
    </row>
    <row r="28" spans="1:7" x14ac:dyDescent="0.2">
      <c r="A28" s="45" t="s">
        <v>511</v>
      </c>
      <c r="B28" s="34" t="s">
        <v>512</v>
      </c>
      <c r="C28" s="90" t="s">
        <v>513</v>
      </c>
      <c r="D28" s="101">
        <v>89370</v>
      </c>
      <c r="E28" s="101">
        <f>D28</f>
        <v>89370</v>
      </c>
      <c r="F28" s="102"/>
    </row>
    <row r="29" spans="1:7" x14ac:dyDescent="0.2">
      <c r="A29" s="45"/>
      <c r="B29" s="34"/>
    </row>
    <row r="30" spans="1:7" x14ac:dyDescent="0.2">
      <c r="A30" s="45" t="s">
        <v>514</v>
      </c>
      <c r="B30" s="34" t="s">
        <v>515</v>
      </c>
      <c r="C30" s="90" t="s">
        <v>516</v>
      </c>
      <c r="D30" s="101">
        <v>51980</v>
      </c>
      <c r="E30" s="101">
        <f>D30</f>
        <v>51980</v>
      </c>
      <c r="F30" s="102"/>
    </row>
    <row r="31" spans="1:7" x14ac:dyDescent="0.2">
      <c r="A31" s="45"/>
      <c r="B31" s="34"/>
    </row>
    <row r="32" spans="1:7" x14ac:dyDescent="0.2">
      <c r="A32" s="45" t="s">
        <v>517</v>
      </c>
      <c r="B32" s="34" t="str">
        <f>_xlfn.CONCAT("(M) = (K) / ",'Population Projections'!G15," ppu")</f>
        <v>(M) = (K) / 2.04 ppu</v>
      </c>
      <c r="D32" s="103">
        <v>43809</v>
      </c>
      <c r="E32" s="103">
        <f>D32</f>
        <v>43809</v>
      </c>
      <c r="F32" s="103"/>
    </row>
    <row r="33" spans="1:12" x14ac:dyDescent="0.2">
      <c r="A33" s="45"/>
      <c r="B33" s="34"/>
      <c r="D33" s="103"/>
      <c r="E33" s="103"/>
      <c r="F33" s="103"/>
    </row>
    <row r="34" spans="1:12" x14ac:dyDescent="0.2">
      <c r="A34" s="45" t="s">
        <v>518</v>
      </c>
      <c r="B34" s="34" t="str">
        <f>_xlfn.CONCAT("(N) = (M) * ",'Population Projections'!G17*100,"%")</f>
        <v>(N) = (M) * 26%</v>
      </c>
      <c r="C34" s="45" t="s">
        <v>739</v>
      </c>
      <c r="D34" s="103">
        <v>11390</v>
      </c>
      <c r="E34" s="103">
        <f>D34</f>
        <v>11390</v>
      </c>
      <c r="F34" s="103"/>
    </row>
    <row r="35" spans="1:12" x14ac:dyDescent="0.2">
      <c r="A35" s="45"/>
      <c r="B35" s="34"/>
      <c r="D35" s="103"/>
      <c r="E35" s="103"/>
      <c r="F35" s="103"/>
    </row>
    <row r="36" spans="1:12" x14ac:dyDescent="0.2">
      <c r="A36" s="45" t="s">
        <v>519</v>
      </c>
      <c r="B36" s="34" t="str">
        <f>_xlfn.CONCAT("(O) = (M) * ",'Population Projections'!G18*100,"%")</f>
        <v>(O) = (M) * 74%</v>
      </c>
      <c r="C36" s="45" t="s">
        <v>739</v>
      </c>
      <c r="D36" s="103">
        <v>32419</v>
      </c>
      <c r="E36" s="103">
        <f>D36</f>
        <v>32419</v>
      </c>
      <c r="F36" s="103"/>
    </row>
    <row r="37" spans="1:12" x14ac:dyDescent="0.2">
      <c r="A37" s="45"/>
      <c r="B37" s="34"/>
      <c r="G37" s="45"/>
    </row>
    <row r="38" spans="1:12" ht="25.5" x14ac:dyDescent="0.2">
      <c r="A38" s="45" t="s">
        <v>520</v>
      </c>
      <c r="B38" s="34" t="s">
        <v>521</v>
      </c>
      <c r="C38" s="90" t="s">
        <v>522</v>
      </c>
      <c r="D38" s="104">
        <f>3.35/2.25</f>
        <v>1.4888888888888889</v>
      </c>
      <c r="E38" s="104">
        <f>3.35/2.25</f>
        <v>1.4888888888888889</v>
      </c>
      <c r="F38" s="104"/>
      <c r="H38" s="36" t="s">
        <v>285</v>
      </c>
      <c r="I38" s="36" t="s">
        <v>858</v>
      </c>
      <c r="J38" s="36"/>
    </row>
    <row r="39" spans="1:12" x14ac:dyDescent="0.2">
      <c r="A39" s="45"/>
      <c r="B39" s="34"/>
      <c r="G39" s="170"/>
      <c r="H39" s="171">
        <v>2023</v>
      </c>
      <c r="I39" s="171">
        <v>2024</v>
      </c>
      <c r="J39" s="171">
        <v>2025</v>
      </c>
    </row>
    <row r="40" spans="1:12" x14ac:dyDescent="0.2">
      <c r="A40" s="45" t="s">
        <v>523</v>
      </c>
      <c r="B40" s="34" t="s">
        <v>524</v>
      </c>
      <c r="C40" s="31" t="s">
        <v>740</v>
      </c>
      <c r="D40" s="105">
        <f>$D$24/($D$34+($D$36/$D$38))</f>
        <v>6627.3339345897075</v>
      </c>
      <c r="E40" s="105">
        <f>$E$24/($E$34+($E$36/$E$38))</f>
        <v>10766.306319167814</v>
      </c>
      <c r="F40" s="148"/>
      <c r="G40" s="172" t="s">
        <v>526</v>
      </c>
      <c r="H40" s="119">
        <v>6126.84</v>
      </c>
      <c r="I40" s="173">
        <f>D40</f>
        <v>6627.3339345897075</v>
      </c>
      <c r="J40" s="173">
        <f>E40</f>
        <v>10766.306319167814</v>
      </c>
    </row>
    <row r="41" spans="1:12" x14ac:dyDescent="0.2">
      <c r="A41" s="45"/>
      <c r="B41" s="34"/>
      <c r="D41" s="108"/>
      <c r="E41" s="108"/>
      <c r="F41" s="108"/>
      <c r="G41" s="172" t="s">
        <v>527</v>
      </c>
      <c r="H41" s="119">
        <v>4115.04</v>
      </c>
      <c r="I41" s="173">
        <f>D42</f>
        <v>4451.1944336796532</v>
      </c>
      <c r="J41" s="173">
        <f>E42</f>
        <v>7231.1012591425606</v>
      </c>
    </row>
    <row r="42" spans="1:12" ht="14.25" x14ac:dyDescent="0.2">
      <c r="A42" s="45" t="s">
        <v>528</v>
      </c>
      <c r="B42" s="34" t="s">
        <v>529</v>
      </c>
      <c r="C42" s="31" t="s">
        <v>323</v>
      </c>
      <c r="D42" s="105">
        <f>$D$24/($D$36+($D$34*$D$38))</f>
        <v>4451.1944336796532</v>
      </c>
      <c r="E42" s="105">
        <f>$E$24/($E$36+($E$34*$E$38))</f>
        <v>7231.1012591425606</v>
      </c>
      <c r="F42" s="148"/>
      <c r="G42" s="172" t="s">
        <v>531</v>
      </c>
      <c r="H42" s="119"/>
      <c r="I42" s="173">
        <f>D48</f>
        <v>3.0399391795367663</v>
      </c>
      <c r="J42" s="173">
        <f>E48</f>
        <v>4.9384740110517358</v>
      </c>
    </row>
    <row r="43" spans="1:12" ht="14.25" x14ac:dyDescent="0.2">
      <c r="A43" s="45"/>
      <c r="B43" s="34"/>
      <c r="D43" s="108"/>
      <c r="E43" s="108"/>
      <c r="G43" s="172" t="s">
        <v>532</v>
      </c>
      <c r="H43" s="173">
        <v>30.24</v>
      </c>
      <c r="I43" s="173">
        <f>D49</f>
        <v>32.721633000779804</v>
      </c>
      <c r="J43" s="173">
        <f>E49</f>
        <v>53.157291850210022</v>
      </c>
    </row>
    <row r="44" spans="1:12" x14ac:dyDescent="0.2">
      <c r="A44" s="45" t="s">
        <v>533</v>
      </c>
      <c r="B44" s="34" t="s">
        <v>534</v>
      </c>
      <c r="C44" s="45" t="s">
        <v>535</v>
      </c>
      <c r="D44" s="109">
        <f>D26/D30</f>
        <v>2459.3107962452441</v>
      </c>
      <c r="E44" s="109">
        <f>E26/E30</f>
        <v>3995.2254749408539</v>
      </c>
      <c r="F44" s="109"/>
      <c r="G44" s="121" t="s">
        <v>296</v>
      </c>
      <c r="H44" s="121"/>
      <c r="I44" s="122">
        <f>I40/H40-1</f>
        <v>8.1688755474226049E-2</v>
      </c>
      <c r="J44" s="123">
        <f>J40/I40-1</f>
        <v>0.62453053149710436</v>
      </c>
    </row>
    <row r="45" spans="1:12" x14ac:dyDescent="0.2">
      <c r="A45" s="45"/>
      <c r="B45" s="34"/>
      <c r="G45" s="121" t="s">
        <v>297</v>
      </c>
      <c r="H45" s="121"/>
      <c r="I45" s="122"/>
      <c r="J45" s="123">
        <f>J41/H41-1</f>
        <v>0.75723717367086607</v>
      </c>
    </row>
    <row r="46" spans="1:12" x14ac:dyDescent="0.2">
      <c r="A46" s="45" t="s">
        <v>536</v>
      </c>
      <c r="B46" s="34" t="s">
        <v>537</v>
      </c>
      <c r="C46" s="45" t="s">
        <v>538</v>
      </c>
      <c r="D46" s="102">
        <v>809</v>
      </c>
      <c r="E46" s="102">
        <f>D46</f>
        <v>809</v>
      </c>
      <c r="F46" s="102"/>
      <c r="G46" s="45"/>
      <c r="H46" s="257"/>
      <c r="K46" s="258"/>
    </row>
    <row r="47" spans="1:12" x14ac:dyDescent="0.2">
      <c r="A47" s="45"/>
      <c r="B47" s="34"/>
      <c r="D47" s="114"/>
      <c r="E47" s="114"/>
      <c r="F47" s="114"/>
      <c r="G47" s="45"/>
      <c r="H47" s="257"/>
      <c r="K47" s="258"/>
      <c r="L47" s="116"/>
    </row>
    <row r="48" spans="1:12" ht="14.25" x14ac:dyDescent="0.2">
      <c r="A48" s="45" t="s">
        <v>539</v>
      </c>
      <c r="B48" s="34" t="s">
        <v>540</v>
      </c>
      <c r="C48" s="31" t="s">
        <v>541</v>
      </c>
      <c r="D48" s="115">
        <f>$D$44/$D$46</f>
        <v>3.0399391795367663</v>
      </c>
      <c r="E48" s="115">
        <f>$E$44/$E$46</f>
        <v>4.9384740110517358</v>
      </c>
      <c r="F48" s="110"/>
      <c r="G48" s="45"/>
      <c r="H48" s="257"/>
      <c r="I48" s="45"/>
      <c r="K48" s="258"/>
    </row>
    <row r="49" spans="1:10" ht="14.25" x14ac:dyDescent="0.2">
      <c r="A49" s="45"/>
      <c r="B49" s="34"/>
      <c r="C49" s="31" t="s">
        <v>542</v>
      </c>
      <c r="D49" s="115">
        <f>CONVERT(D48,"m^2","ft^2")</f>
        <v>32.721633000779804</v>
      </c>
      <c r="E49" s="115">
        <f>CONVERT(E48,"m^2","ft^2")</f>
        <v>53.157291850210022</v>
      </c>
      <c r="F49" s="110"/>
      <c r="G49" s="31"/>
    </row>
    <row r="50" spans="1:10" x14ac:dyDescent="0.2">
      <c r="A50" s="453" t="s">
        <v>933</v>
      </c>
      <c r="B50" s="454"/>
      <c r="H50" s="31"/>
      <c r="I50" s="31"/>
      <c r="J50" s="31"/>
    </row>
    <row r="51" spans="1:10" x14ac:dyDescent="0.2">
      <c r="A51" s="453" t="s">
        <v>543</v>
      </c>
      <c r="B51" s="454"/>
      <c r="H51" s="174"/>
      <c r="I51" s="45"/>
    </row>
    <row r="52" spans="1:10" x14ac:dyDescent="0.2">
      <c r="A52" s="454" t="s">
        <v>741</v>
      </c>
      <c r="B52" s="454"/>
      <c r="H52" s="174"/>
      <c r="I52" s="45"/>
    </row>
    <row r="53" spans="1:10" x14ac:dyDescent="0.2">
      <c r="A53" s="456" t="s">
        <v>545</v>
      </c>
      <c r="B53" s="457"/>
      <c r="H53" s="174"/>
      <c r="I53" s="45"/>
    </row>
    <row r="54" spans="1:10" ht="10.9" customHeight="1" x14ac:dyDescent="0.2">
      <c r="A54" s="457"/>
      <c r="B54" s="457"/>
    </row>
    <row r="55" spans="1:10" x14ac:dyDescent="0.2">
      <c r="A55" s="453" t="s">
        <v>546</v>
      </c>
      <c r="B55" s="454"/>
    </row>
    <row r="56" spans="1:10" x14ac:dyDescent="0.2">
      <c r="A56" s="453" t="s">
        <v>547</v>
      </c>
      <c r="B56" s="454"/>
      <c r="D56" s="117"/>
    </row>
    <row r="57" spans="1:10" x14ac:dyDescent="0.2">
      <c r="A57" s="453" t="s">
        <v>548</v>
      </c>
      <c r="B57" s="454"/>
    </row>
    <row r="62" spans="1:10" x14ac:dyDescent="0.2">
      <c r="A62" s="31"/>
    </row>
  </sheetData>
  <mergeCells count="8">
    <mergeCell ref="A56:B56"/>
    <mergeCell ref="A57:B57"/>
    <mergeCell ref="A1:B1"/>
    <mergeCell ref="A50:B50"/>
    <mergeCell ref="A51:B51"/>
    <mergeCell ref="A52:B52"/>
    <mergeCell ref="A53:B54"/>
    <mergeCell ref="A55:B55"/>
  </mergeCells>
  <pageMargins left="0.7" right="0.7" top="0.75" bottom="0.75" header="0.3" footer="0.3"/>
  <pageSetup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B8430-9DCE-43E4-9462-41C493384111}">
  <sheetPr>
    <tabColor theme="9" tint="0.39997558519241921"/>
    <pageSetUpPr fitToPage="1"/>
  </sheetPr>
  <dimension ref="A1:AF120"/>
  <sheetViews>
    <sheetView zoomScale="75" zoomScaleNormal="75" workbookViewId="0">
      <selection activeCell="C1" sqref="C1"/>
    </sheetView>
  </sheetViews>
  <sheetFormatPr defaultColWidth="8.7109375" defaultRowHeight="27" x14ac:dyDescent="0.35"/>
  <cols>
    <col min="1" max="1" width="20.42578125" style="428" customWidth="1"/>
    <col min="2" max="2" width="28.7109375" style="428" customWidth="1"/>
    <col min="3" max="3" width="17" style="428" customWidth="1"/>
    <col min="4" max="4" width="18.28515625" style="428" customWidth="1"/>
    <col min="5" max="5" width="21.140625" style="428" bestFit="1" customWidth="1"/>
    <col min="6" max="6" width="23.140625" style="428" customWidth="1"/>
    <col min="7" max="7" width="24.140625" style="428" customWidth="1"/>
    <col min="8" max="8" width="20.7109375" style="428" customWidth="1"/>
    <col min="9" max="9" width="23" style="428" customWidth="1"/>
    <col min="10" max="10" width="24.5703125" style="428" bestFit="1" customWidth="1"/>
    <col min="11" max="11" width="23" style="428" bestFit="1" customWidth="1"/>
    <col min="12" max="12" width="20.5703125" style="428" customWidth="1"/>
    <col min="13" max="13" width="30.28515625" style="428" customWidth="1"/>
    <col min="14" max="26" width="20.5703125" style="429" customWidth="1"/>
    <col min="27" max="27" width="20.5703125" style="428" customWidth="1"/>
    <col min="28" max="28" width="8.7109375" style="429"/>
    <col min="29" max="29" width="7.28515625" style="429" bestFit="1" customWidth="1"/>
    <col min="30" max="30" width="8.28515625" style="429" customWidth="1"/>
    <col min="31" max="31" width="10.28515625" style="429" bestFit="1" customWidth="1"/>
    <col min="32" max="32" width="11.28515625" style="429" bestFit="1" customWidth="1"/>
    <col min="33" max="16384" width="8.7109375" style="429"/>
  </cols>
  <sheetData>
    <row r="1" spans="1:32" s="6" customFormat="1" ht="23.25" x14ac:dyDescent="0.35">
      <c r="A1" s="347" t="s">
        <v>211</v>
      </c>
      <c r="B1" s="347"/>
      <c r="C1" s="347"/>
      <c r="D1" s="2"/>
      <c r="G1" s="3"/>
      <c r="I1" s="7"/>
      <c r="J1" s="8"/>
      <c r="K1" s="348"/>
    </row>
    <row r="2" spans="1:32" s="15" customFormat="1" ht="18" x14ac:dyDescent="0.25">
      <c r="A2" s="176"/>
      <c r="B2" s="176"/>
      <c r="C2" s="176"/>
      <c r="D2" s="11"/>
      <c r="G2" s="16"/>
      <c r="I2" s="17"/>
      <c r="J2" s="18"/>
      <c r="K2" s="349"/>
    </row>
    <row r="3" spans="1:32" s="353" customFormat="1" ht="18.75" x14ac:dyDescent="0.2">
      <c r="A3" s="350"/>
      <c r="B3" s="351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0"/>
      <c r="AB3" s="352"/>
      <c r="AC3" s="352"/>
      <c r="AD3" s="352"/>
      <c r="AE3" s="352"/>
      <c r="AF3" s="352"/>
    </row>
    <row r="4" spans="1:32" s="357" customFormat="1" ht="75" x14ac:dyDescent="0.2">
      <c r="A4" s="354" t="s">
        <v>212</v>
      </c>
      <c r="B4" s="354" t="s">
        <v>213</v>
      </c>
      <c r="C4" s="355" t="s">
        <v>214</v>
      </c>
      <c r="D4" s="355" t="s">
        <v>215</v>
      </c>
      <c r="E4" s="355" t="s">
        <v>216</v>
      </c>
      <c r="F4" s="355" t="s">
        <v>217</v>
      </c>
      <c r="G4" s="355" t="s">
        <v>218</v>
      </c>
      <c r="H4" s="355" t="s">
        <v>219</v>
      </c>
      <c r="I4" s="355" t="s">
        <v>220</v>
      </c>
      <c r="J4" s="355" t="s">
        <v>221</v>
      </c>
      <c r="K4" s="355" t="s">
        <v>222</v>
      </c>
      <c r="L4" s="356"/>
      <c r="N4" s="358"/>
      <c r="O4" s="358"/>
      <c r="P4" s="359"/>
      <c r="Q4" s="359"/>
      <c r="R4" s="359"/>
      <c r="S4" s="359"/>
      <c r="T4" s="359"/>
      <c r="U4" s="359"/>
      <c r="V4" s="358"/>
      <c r="W4" s="360"/>
      <c r="X4" s="361"/>
      <c r="Y4" s="362"/>
      <c r="Z4" s="363"/>
      <c r="AA4" s="362"/>
      <c r="AE4" s="364"/>
      <c r="AF4" s="364"/>
    </row>
    <row r="5" spans="1:32" s="353" customFormat="1" ht="18.75" x14ac:dyDescent="0.2">
      <c r="A5" s="365">
        <v>42461</v>
      </c>
      <c r="B5" s="365">
        <v>44286</v>
      </c>
      <c r="C5" s="366">
        <f>(B5-A5)/365.25</f>
        <v>4.9965776865160851</v>
      </c>
      <c r="D5" s="367">
        <f>18548</f>
        <v>18548</v>
      </c>
      <c r="E5" s="367">
        <f t="shared" ref="E5:E10" si="0">ROUND(D5/$G$15,0)</f>
        <v>9092</v>
      </c>
      <c r="F5" s="367">
        <f t="shared" ref="F5:F10" si="1">ROUND(E5*$G$17,0)</f>
        <v>2364</v>
      </c>
      <c r="G5" s="367">
        <f t="shared" ref="G5:G10" si="2">ROUND(E5*$G$18,0)</f>
        <v>6728</v>
      </c>
      <c r="H5" s="367">
        <f>D5</f>
        <v>18548</v>
      </c>
      <c r="I5" s="367">
        <f>ROUND(D5*$G$20,0)</f>
        <v>10788</v>
      </c>
      <c r="J5" s="367">
        <f t="shared" ref="J5:J10" si="3">ROUND(I5*$G$22,0)</f>
        <v>8731013</v>
      </c>
      <c r="K5" s="367">
        <f>I5</f>
        <v>10788</v>
      </c>
      <c r="L5" s="368"/>
      <c r="N5" s="352"/>
      <c r="O5" s="352"/>
      <c r="P5" s="369"/>
      <c r="Q5" s="369"/>
      <c r="R5" s="369"/>
      <c r="S5" s="369"/>
      <c r="T5" s="369"/>
      <c r="U5" s="369"/>
      <c r="V5" s="352"/>
      <c r="W5" s="370"/>
      <c r="X5" s="371"/>
      <c r="Y5" s="25"/>
      <c r="Z5" s="372"/>
      <c r="AA5" s="25"/>
      <c r="AE5" s="373"/>
      <c r="AF5" s="373"/>
    </row>
    <row r="6" spans="1:32" s="353" customFormat="1" ht="18.75" x14ac:dyDescent="0.2">
      <c r="A6" s="374">
        <v>44287</v>
      </c>
      <c r="B6" s="374">
        <v>46112</v>
      </c>
      <c r="C6" s="375">
        <f t="shared" ref="C6:C10" si="4">(B6-A6)/365.25</f>
        <v>4.9965776865160851</v>
      </c>
      <c r="D6" s="376">
        <f>19595</f>
        <v>19595</v>
      </c>
      <c r="E6" s="376">
        <f>ROUND(D6/$G$15,0)</f>
        <v>9605</v>
      </c>
      <c r="F6" s="376">
        <f>ROUND(E6*$G$17,0)</f>
        <v>2497</v>
      </c>
      <c r="G6" s="376">
        <f t="shared" si="2"/>
        <v>7108</v>
      </c>
      <c r="H6" s="376">
        <f>H5+D6</f>
        <v>38143</v>
      </c>
      <c r="I6" s="376">
        <f t="shared" ref="I6:I10" si="5">ROUND(D6*$G$20,0)</f>
        <v>11397</v>
      </c>
      <c r="J6" s="376">
        <f t="shared" si="3"/>
        <v>9223893</v>
      </c>
      <c r="K6" s="376">
        <f>K5+I6</f>
        <v>22185</v>
      </c>
      <c r="L6" s="368"/>
      <c r="N6" s="352"/>
      <c r="O6" s="352"/>
      <c r="P6" s="369"/>
      <c r="Q6" s="369"/>
      <c r="R6" s="369"/>
      <c r="S6" s="369"/>
      <c r="T6" s="369"/>
      <c r="U6" s="369"/>
      <c r="V6" s="352"/>
      <c r="W6" s="370"/>
      <c r="X6" s="371"/>
      <c r="Y6" s="25"/>
      <c r="Z6" s="372"/>
      <c r="AA6" s="25"/>
      <c r="AE6" s="373"/>
      <c r="AF6" s="373"/>
    </row>
    <row r="7" spans="1:32" s="353" customFormat="1" ht="18.75" x14ac:dyDescent="0.2">
      <c r="A7" s="374">
        <v>46113</v>
      </c>
      <c r="B7" s="374">
        <v>47938</v>
      </c>
      <c r="C7" s="375">
        <f t="shared" si="4"/>
        <v>4.9965776865160851</v>
      </c>
      <c r="D7" s="376">
        <v>21212</v>
      </c>
      <c r="E7" s="376">
        <f t="shared" si="0"/>
        <v>10398</v>
      </c>
      <c r="F7" s="376">
        <f t="shared" si="1"/>
        <v>2703</v>
      </c>
      <c r="G7" s="376">
        <f t="shared" si="2"/>
        <v>7695</v>
      </c>
      <c r="H7" s="376">
        <f>H6+D7</f>
        <v>59355</v>
      </c>
      <c r="I7" s="376">
        <f t="shared" si="5"/>
        <v>12338</v>
      </c>
      <c r="J7" s="376">
        <f t="shared" si="3"/>
        <v>9985469</v>
      </c>
      <c r="K7" s="376">
        <f>K6+I7</f>
        <v>34523</v>
      </c>
      <c r="L7" s="368"/>
      <c r="N7" s="352"/>
      <c r="O7" s="352"/>
      <c r="P7" s="369"/>
      <c r="Q7" s="369"/>
      <c r="R7" s="369"/>
      <c r="S7" s="369"/>
      <c r="T7" s="369"/>
      <c r="U7" s="369"/>
      <c r="V7" s="352"/>
      <c r="W7" s="370"/>
      <c r="X7" s="371"/>
      <c r="Y7" s="25"/>
      <c r="Z7" s="372"/>
      <c r="AA7" s="25"/>
      <c r="AE7" s="373"/>
      <c r="AF7" s="373"/>
    </row>
    <row r="8" spans="1:32" s="353" customFormat="1" ht="18.75" x14ac:dyDescent="0.2">
      <c r="A8" s="374">
        <v>47939</v>
      </c>
      <c r="B8" s="374">
        <v>49765</v>
      </c>
      <c r="C8" s="375">
        <f t="shared" si="4"/>
        <v>4.9993155373032172</v>
      </c>
      <c r="D8" s="377">
        <v>22162</v>
      </c>
      <c r="E8" s="376">
        <f t="shared" si="0"/>
        <v>10864</v>
      </c>
      <c r="F8" s="376">
        <f t="shared" si="1"/>
        <v>2825</v>
      </c>
      <c r="G8" s="376">
        <f t="shared" si="2"/>
        <v>8039</v>
      </c>
      <c r="H8" s="377">
        <f>H7+D8</f>
        <v>81517</v>
      </c>
      <c r="I8" s="376">
        <f t="shared" si="5"/>
        <v>12890</v>
      </c>
      <c r="J8" s="376">
        <f t="shared" si="3"/>
        <v>10432218</v>
      </c>
      <c r="K8" s="377">
        <f>K7+I8</f>
        <v>47413</v>
      </c>
      <c r="L8" s="368"/>
      <c r="N8" s="352"/>
      <c r="O8" s="352"/>
      <c r="P8" s="369"/>
      <c r="Q8" s="369"/>
      <c r="R8" s="369"/>
      <c r="S8" s="369"/>
      <c r="T8" s="369"/>
      <c r="U8" s="369"/>
      <c r="V8" s="352"/>
      <c r="W8" s="370"/>
      <c r="X8" s="371"/>
      <c r="Y8" s="25"/>
      <c r="Z8" s="372"/>
      <c r="AA8" s="25"/>
      <c r="AE8" s="373"/>
      <c r="AF8" s="373"/>
    </row>
    <row r="9" spans="1:32" s="353" customFormat="1" ht="18.75" x14ac:dyDescent="0.2">
      <c r="A9" s="374">
        <v>49766</v>
      </c>
      <c r="B9" s="374">
        <v>51591</v>
      </c>
      <c r="C9" s="375">
        <f t="shared" si="4"/>
        <v>4.9965776865160851</v>
      </c>
      <c r="D9" s="376">
        <f>23727</f>
        <v>23727</v>
      </c>
      <c r="E9" s="376">
        <f t="shared" si="0"/>
        <v>11631</v>
      </c>
      <c r="F9" s="376">
        <f t="shared" si="1"/>
        <v>3024</v>
      </c>
      <c r="G9" s="376">
        <f t="shared" si="2"/>
        <v>8607</v>
      </c>
      <c r="H9" s="376">
        <f>H8+D9</f>
        <v>105244</v>
      </c>
      <c r="I9" s="376">
        <f t="shared" si="5"/>
        <v>13800</v>
      </c>
      <c r="J9" s="376">
        <f t="shared" si="3"/>
        <v>11168705</v>
      </c>
      <c r="K9" s="376">
        <f>K8+I9</f>
        <v>61213</v>
      </c>
      <c r="L9" s="368"/>
      <c r="N9" s="352"/>
      <c r="O9" s="352"/>
      <c r="P9" s="369"/>
      <c r="Q9" s="369"/>
      <c r="R9" s="369"/>
      <c r="S9" s="369"/>
      <c r="T9" s="369"/>
      <c r="U9" s="369"/>
      <c r="V9" s="352"/>
      <c r="W9" s="370"/>
      <c r="X9" s="371"/>
      <c r="Y9" s="25"/>
      <c r="Z9" s="372"/>
      <c r="AA9" s="25"/>
      <c r="AE9" s="373"/>
      <c r="AF9" s="373"/>
    </row>
    <row r="10" spans="1:32" s="353" customFormat="1" ht="19.5" thickBot="1" x14ac:dyDescent="0.25">
      <c r="A10" s="378">
        <v>51592</v>
      </c>
      <c r="B10" s="378">
        <v>53417</v>
      </c>
      <c r="C10" s="379">
        <f t="shared" si="4"/>
        <v>4.9965776865160851</v>
      </c>
      <c r="D10" s="380">
        <v>25969</v>
      </c>
      <c r="E10" s="381">
        <f t="shared" si="0"/>
        <v>12730</v>
      </c>
      <c r="F10" s="381">
        <f t="shared" si="1"/>
        <v>3310</v>
      </c>
      <c r="G10" s="381">
        <f t="shared" si="2"/>
        <v>9420</v>
      </c>
      <c r="H10" s="380">
        <f>H9+D10</f>
        <v>131213</v>
      </c>
      <c r="I10" s="381">
        <f t="shared" si="5"/>
        <v>15104</v>
      </c>
      <c r="J10" s="381">
        <f t="shared" si="3"/>
        <v>12224066</v>
      </c>
      <c r="K10" s="380">
        <f>K9+I10</f>
        <v>76317</v>
      </c>
      <c r="L10" s="368"/>
      <c r="N10" s="352"/>
      <c r="O10" s="352"/>
      <c r="P10" s="369"/>
      <c r="Q10" s="369"/>
      <c r="R10" s="369"/>
      <c r="S10" s="369"/>
      <c r="T10" s="369"/>
      <c r="U10" s="369"/>
      <c r="V10" s="352"/>
      <c r="W10" s="370"/>
      <c r="X10" s="371"/>
      <c r="Y10" s="25"/>
      <c r="Z10" s="372"/>
      <c r="AA10" s="25"/>
      <c r="AE10" s="373"/>
      <c r="AF10" s="373"/>
    </row>
    <row r="11" spans="1:32" s="353" customFormat="1" ht="19.5" thickTop="1" x14ac:dyDescent="0.2">
      <c r="B11" s="382" t="s">
        <v>223</v>
      </c>
      <c r="C11" s="382"/>
      <c r="D11" s="383">
        <f t="shared" ref="D11:J11" si="6">SUM(D5:D10)</f>
        <v>131213</v>
      </c>
      <c r="E11" s="383">
        <f>SUM(E5:E10)</f>
        <v>64320</v>
      </c>
      <c r="F11" s="383">
        <f t="shared" si="6"/>
        <v>16723</v>
      </c>
      <c r="G11" s="383">
        <f t="shared" si="6"/>
        <v>47597</v>
      </c>
      <c r="H11" s="383"/>
      <c r="I11" s="383">
        <f>SUM(I5:I10)</f>
        <v>76317</v>
      </c>
      <c r="J11" s="383">
        <f t="shared" si="6"/>
        <v>61765364</v>
      </c>
      <c r="K11" s="384"/>
      <c r="L11" s="350"/>
      <c r="N11" s="352"/>
      <c r="O11" s="352"/>
      <c r="P11" s="369"/>
      <c r="Q11" s="369"/>
      <c r="R11" s="369"/>
      <c r="S11" s="369"/>
      <c r="T11" s="369"/>
      <c r="U11" s="369"/>
      <c r="V11" s="352"/>
      <c r="W11" s="370"/>
      <c r="X11" s="371"/>
      <c r="Y11" s="25"/>
      <c r="Z11" s="372"/>
      <c r="AA11" s="25"/>
      <c r="AE11" s="373"/>
      <c r="AF11" s="373"/>
    </row>
    <row r="12" spans="1:32" s="353" customFormat="1" ht="18.75" x14ac:dyDescent="0.2">
      <c r="A12" s="382"/>
      <c r="B12" s="382"/>
      <c r="C12" s="382"/>
      <c r="D12" s="385"/>
      <c r="E12" s="385"/>
      <c r="F12" s="385"/>
      <c r="G12" s="385"/>
      <c r="H12" s="385"/>
      <c r="I12" s="386"/>
      <c r="J12" s="387"/>
      <c r="K12" s="387"/>
      <c r="L12" s="350"/>
      <c r="M12" s="350"/>
      <c r="N12" s="352"/>
      <c r="O12" s="352"/>
      <c r="P12" s="369"/>
      <c r="Q12" s="369"/>
      <c r="R12" s="369"/>
      <c r="S12" s="369"/>
      <c r="T12" s="369"/>
      <c r="U12" s="369"/>
      <c r="V12" s="352"/>
      <c r="W12" s="370"/>
      <c r="X12" s="371"/>
      <c r="Y12" s="25"/>
      <c r="Z12" s="372"/>
      <c r="AA12" s="25"/>
      <c r="AE12" s="373"/>
      <c r="AF12" s="373"/>
    </row>
    <row r="13" spans="1:32" s="353" customFormat="1" ht="19.149999999999999" customHeight="1" thickBot="1" x14ac:dyDescent="0.25">
      <c r="A13" s="388" t="s">
        <v>224</v>
      </c>
      <c r="B13" s="388"/>
      <c r="C13" s="388"/>
      <c r="D13" s="389"/>
      <c r="E13" s="389"/>
      <c r="G13" s="388" t="s">
        <v>225</v>
      </c>
      <c r="H13" s="390"/>
      <c r="I13" s="391"/>
      <c r="J13" s="392"/>
      <c r="K13" s="350"/>
      <c r="L13" s="350"/>
      <c r="M13" s="350"/>
      <c r="N13" s="352"/>
      <c r="O13" s="352"/>
      <c r="P13" s="369"/>
      <c r="Q13" s="369"/>
      <c r="R13" s="369"/>
      <c r="S13" s="369"/>
      <c r="T13" s="369"/>
      <c r="U13" s="369"/>
      <c r="V13" s="352"/>
      <c r="W13" s="393"/>
      <c r="X13" s="371"/>
      <c r="Y13" s="25"/>
      <c r="Z13" s="372"/>
      <c r="AA13" s="25"/>
      <c r="AE13" s="373"/>
      <c r="AF13" s="373"/>
    </row>
    <row r="14" spans="1:32" s="353" customFormat="1" ht="19.149999999999999" customHeight="1" thickTop="1" x14ac:dyDescent="0.2">
      <c r="A14" s="394"/>
      <c r="B14" s="394"/>
      <c r="C14" s="394"/>
      <c r="D14" s="395" t="s">
        <v>212</v>
      </c>
      <c r="E14" s="395" t="s">
        <v>213</v>
      </c>
      <c r="L14" s="350"/>
      <c r="M14" s="352"/>
      <c r="O14" s="352"/>
      <c r="P14" s="369"/>
      <c r="Q14" s="369"/>
      <c r="R14" s="369"/>
      <c r="S14" s="369"/>
      <c r="T14" s="369"/>
      <c r="U14" s="369"/>
      <c r="V14" s="352"/>
      <c r="W14" s="393"/>
      <c r="X14" s="371"/>
      <c r="Y14" s="25"/>
      <c r="Z14" s="372"/>
      <c r="AA14" s="25"/>
      <c r="AE14" s="373"/>
      <c r="AF14" s="373"/>
    </row>
    <row r="15" spans="1:32" s="353" customFormat="1" ht="19.899999999999999" customHeight="1" x14ac:dyDescent="0.2">
      <c r="A15" s="396" t="s">
        <v>226</v>
      </c>
      <c r="B15" s="396"/>
      <c r="C15" s="397" t="s">
        <v>227</v>
      </c>
      <c r="D15" s="398">
        <f>A5</f>
        <v>42461</v>
      </c>
      <c r="E15" s="398">
        <f>B10</f>
        <v>53417</v>
      </c>
      <c r="F15" s="399"/>
      <c r="G15" s="400">
        <v>2.04</v>
      </c>
      <c r="H15" s="401" t="s">
        <v>228</v>
      </c>
      <c r="I15" s="402"/>
      <c r="K15" s="350"/>
      <c r="L15" s="403"/>
      <c r="M15" s="352"/>
      <c r="O15" s="352"/>
      <c r="P15" s="369"/>
      <c r="Q15" s="369"/>
      <c r="R15" s="369"/>
      <c r="S15" s="369"/>
      <c r="T15" s="369"/>
      <c r="U15" s="369"/>
      <c r="V15" s="352"/>
      <c r="W15" s="393"/>
      <c r="X15" s="371"/>
      <c r="Y15" s="25"/>
      <c r="Z15" s="372"/>
      <c r="AA15" s="25"/>
      <c r="AE15" s="373"/>
      <c r="AF15" s="373"/>
    </row>
    <row r="16" spans="1:32" s="399" customFormat="1" ht="19.899999999999999" customHeight="1" x14ac:dyDescent="0.2">
      <c r="A16" s="396" t="s">
        <v>229</v>
      </c>
      <c r="B16" s="396"/>
      <c r="C16" s="404">
        <f>D5+D6+D7+D8+D9+D10</f>
        <v>131213</v>
      </c>
      <c r="D16" s="397"/>
      <c r="E16" s="397"/>
      <c r="G16" s="405">
        <v>0.96499999999999997</v>
      </c>
      <c r="H16" s="401" t="s">
        <v>230</v>
      </c>
      <c r="I16" s="406"/>
      <c r="K16" s="403"/>
      <c r="L16" s="394"/>
      <c r="M16" s="407"/>
      <c r="O16" s="407"/>
      <c r="P16" s="408"/>
      <c r="Q16" s="408"/>
      <c r="R16" s="408"/>
      <c r="S16" s="408"/>
      <c r="T16" s="408"/>
      <c r="U16" s="408"/>
      <c r="V16" s="408"/>
      <c r="W16" s="408"/>
      <c r="X16" s="409"/>
      <c r="Y16" s="409"/>
      <c r="Z16" s="407"/>
      <c r="AA16" s="394"/>
      <c r="AE16" s="407"/>
      <c r="AF16" s="407"/>
    </row>
    <row r="17" spans="1:32" s="399" customFormat="1" ht="19.899999999999999" customHeight="1" thickBot="1" x14ac:dyDescent="0.25">
      <c r="A17" s="396" t="s">
        <v>231</v>
      </c>
      <c r="B17" s="396"/>
      <c r="C17" s="410">
        <f>85963-6877</f>
        <v>79086</v>
      </c>
      <c r="D17" s="397"/>
      <c r="E17" s="397"/>
      <c r="G17" s="411">
        <v>0.26</v>
      </c>
      <c r="H17" s="401" t="s">
        <v>232</v>
      </c>
      <c r="I17" s="394"/>
      <c r="K17" s="394"/>
      <c r="L17" s="394"/>
      <c r="M17" s="407"/>
      <c r="O17" s="407"/>
      <c r="P17" s="408"/>
      <c r="Q17" s="408"/>
      <c r="R17" s="408"/>
      <c r="S17" s="408"/>
      <c r="T17" s="408"/>
      <c r="U17" s="408"/>
      <c r="V17" s="408"/>
      <c r="W17" s="408"/>
      <c r="X17" s="409"/>
      <c r="Y17" s="409"/>
      <c r="Z17" s="407"/>
      <c r="AA17" s="394"/>
      <c r="AE17" s="407"/>
      <c r="AF17" s="407"/>
    </row>
    <row r="18" spans="1:32" s="399" customFormat="1" ht="19.899999999999999" customHeight="1" thickTop="1" x14ac:dyDescent="0.2">
      <c r="A18" s="412" t="s">
        <v>233</v>
      </c>
      <c r="B18" s="396"/>
      <c r="C18" s="413">
        <f>C16+C17</f>
        <v>210299</v>
      </c>
      <c r="D18" s="394"/>
      <c r="E18" s="394"/>
      <c r="G18" s="411">
        <v>0.74</v>
      </c>
      <c r="H18" s="401" t="s">
        <v>234</v>
      </c>
      <c r="I18" s="394"/>
      <c r="K18" s="394"/>
      <c r="L18" s="394"/>
      <c r="AA18" s="394"/>
    </row>
    <row r="19" spans="1:32" s="399" customFormat="1" ht="19.899999999999999" customHeight="1" x14ac:dyDescent="0.2">
      <c r="A19" s="412" t="s">
        <v>235</v>
      </c>
      <c r="B19" s="414"/>
      <c r="C19" s="415">
        <f>(C17/C16)*G16</f>
        <v>0.58163436549732106</v>
      </c>
      <c r="D19" s="394"/>
      <c r="E19" s="394"/>
      <c r="F19" s="394"/>
      <c r="G19" s="411">
        <v>0.57999999999999996</v>
      </c>
      <c r="H19" s="401" t="s">
        <v>236</v>
      </c>
      <c r="K19" s="394"/>
      <c r="L19" s="394"/>
      <c r="AA19" s="394"/>
    </row>
    <row r="20" spans="1:32" s="399" customFormat="1" ht="19.899999999999999" customHeight="1" x14ac:dyDescent="0.2">
      <c r="A20" s="396" t="s">
        <v>229</v>
      </c>
      <c r="B20" s="396"/>
      <c r="C20" s="404">
        <f>C16</f>
        <v>131213</v>
      </c>
      <c r="D20" s="394"/>
      <c r="E20" s="394"/>
      <c r="F20" s="394"/>
      <c r="G20" s="416">
        <f>C19</f>
        <v>0.58163436549732106</v>
      </c>
      <c r="H20" s="401" t="s">
        <v>237</v>
      </c>
      <c r="I20" s="394"/>
      <c r="K20" s="394"/>
      <c r="L20" s="394"/>
      <c r="AA20" s="394"/>
    </row>
    <row r="21" spans="1:32" s="399" customFormat="1" ht="19.899999999999999" customHeight="1" thickBot="1" x14ac:dyDescent="0.25">
      <c r="A21" s="396" t="s">
        <v>238</v>
      </c>
      <c r="B21" s="396"/>
      <c r="C21" s="410">
        <f>I5+I6+I7+I8+I9+I10</f>
        <v>76317</v>
      </c>
      <c r="D21" s="397"/>
      <c r="E21" s="397"/>
      <c r="F21" s="394"/>
      <c r="G21" s="417">
        <v>781</v>
      </c>
      <c r="H21" s="401" t="s">
        <v>239</v>
      </c>
      <c r="K21" s="394"/>
      <c r="L21" s="394"/>
      <c r="AA21" s="394"/>
    </row>
    <row r="22" spans="1:32" s="399" customFormat="1" ht="19.899999999999999" customHeight="1" thickTop="1" x14ac:dyDescent="0.2">
      <c r="A22" s="412" t="s">
        <v>240</v>
      </c>
      <c r="B22" s="396"/>
      <c r="C22" s="413">
        <f>C20+C21</f>
        <v>207530</v>
      </c>
      <c r="D22" s="418"/>
      <c r="E22" s="418"/>
      <c r="F22" s="394"/>
      <c r="G22" s="417">
        <f>G21/G16</f>
        <v>809.32642487046633</v>
      </c>
      <c r="H22" s="401" t="s">
        <v>241</v>
      </c>
      <c r="K22" s="394"/>
      <c r="L22" s="394"/>
      <c r="AA22" s="394"/>
    </row>
    <row r="23" spans="1:32" s="399" customFormat="1" ht="19.899999999999999" customHeight="1" x14ac:dyDescent="0.2">
      <c r="A23" s="396" t="s">
        <v>242</v>
      </c>
      <c r="B23" s="396"/>
      <c r="C23" s="416">
        <f>C20/C22</f>
        <v>0.63226039608731266</v>
      </c>
      <c r="D23" s="418"/>
      <c r="E23" s="418"/>
      <c r="F23" s="394"/>
      <c r="G23" s="394"/>
      <c r="H23" s="394"/>
      <c r="I23" s="394"/>
      <c r="J23" s="394"/>
      <c r="K23" s="394"/>
      <c r="L23" s="394"/>
      <c r="M23" s="419"/>
      <c r="AA23" s="394"/>
    </row>
    <row r="24" spans="1:32" s="399" customFormat="1" ht="19.899999999999999" customHeight="1" x14ac:dyDescent="0.2">
      <c r="A24" s="396" t="s">
        <v>243</v>
      </c>
      <c r="B24" s="396"/>
      <c r="C24" s="416">
        <f>C21/C22</f>
        <v>0.36773960391268734</v>
      </c>
      <c r="D24" s="394"/>
      <c r="E24" s="394"/>
      <c r="F24" s="394"/>
      <c r="G24" s="394"/>
      <c r="H24" s="394"/>
      <c r="I24" s="394"/>
      <c r="J24" s="394"/>
      <c r="K24" s="394"/>
      <c r="L24" s="394"/>
      <c r="AA24" s="394"/>
    </row>
    <row r="25" spans="1:32" s="399" customFormat="1" ht="19.149999999999999" customHeight="1" x14ac:dyDescent="0.2">
      <c r="A25" s="394"/>
      <c r="B25" s="394"/>
      <c r="C25" s="394"/>
      <c r="D25" s="394"/>
      <c r="E25" s="394"/>
      <c r="F25" s="394"/>
      <c r="G25" s="394"/>
      <c r="H25" s="394"/>
      <c r="I25" s="394"/>
      <c r="J25" s="394"/>
      <c r="K25" s="394"/>
      <c r="L25" s="394"/>
      <c r="AA25" s="394"/>
    </row>
    <row r="26" spans="1:32" s="399" customFormat="1" ht="19.149999999999999" customHeight="1" thickBot="1" x14ac:dyDescent="0.25">
      <c r="A26" s="388" t="s">
        <v>244</v>
      </c>
      <c r="B26" s="388"/>
      <c r="C26" s="388"/>
      <c r="D26" s="389"/>
      <c r="E26" s="389"/>
      <c r="F26" s="394"/>
      <c r="G26" s="388" t="s">
        <v>245</v>
      </c>
      <c r="H26" s="420"/>
      <c r="I26" s="394"/>
      <c r="J26" s="394"/>
      <c r="K26" s="394"/>
      <c r="L26" s="394"/>
      <c r="AA26" s="394"/>
    </row>
    <row r="27" spans="1:32" s="399" customFormat="1" ht="19.149999999999999" customHeight="1" thickTop="1" x14ac:dyDescent="0.2">
      <c r="A27" s="394"/>
      <c r="B27" s="394"/>
      <c r="C27" s="394"/>
      <c r="D27" s="395" t="s">
        <v>212</v>
      </c>
      <c r="E27" s="395" t="s">
        <v>213</v>
      </c>
      <c r="F27" s="394"/>
      <c r="G27" s="395" t="s">
        <v>212</v>
      </c>
      <c r="H27" s="395" t="s">
        <v>213</v>
      </c>
      <c r="I27" s="395" t="s">
        <v>214</v>
      </c>
      <c r="J27" s="395" t="s">
        <v>246</v>
      </c>
      <c r="K27" s="395" t="s">
        <v>247</v>
      </c>
      <c r="L27" s="395" t="s">
        <v>248</v>
      </c>
      <c r="AA27" s="394"/>
    </row>
    <row r="28" spans="1:32" s="399" customFormat="1" ht="19.149999999999999" customHeight="1" x14ac:dyDescent="0.2">
      <c r="A28" s="396" t="s">
        <v>249</v>
      </c>
      <c r="B28" s="396"/>
      <c r="C28" s="397" t="s">
        <v>250</v>
      </c>
      <c r="D28" s="398">
        <v>43556</v>
      </c>
      <c r="E28" s="398">
        <v>43921</v>
      </c>
      <c r="F28" s="394"/>
      <c r="G28" s="421">
        <v>42461</v>
      </c>
      <c r="H28" s="421">
        <v>53417</v>
      </c>
      <c r="I28" s="417">
        <f>(H28-G28)/365.25</f>
        <v>29.995893223819301</v>
      </c>
      <c r="J28" s="404">
        <f>D5+D6+D7+D8+D9+D10</f>
        <v>131213</v>
      </c>
      <c r="K28" s="404">
        <f>I5+I6+I7+I8+I9+I10</f>
        <v>76317</v>
      </c>
      <c r="L28" s="404">
        <f>J28+K28</f>
        <v>207530</v>
      </c>
      <c r="AA28" s="394"/>
    </row>
    <row r="29" spans="1:32" s="399" customFormat="1" ht="19.149999999999999" customHeight="1" x14ac:dyDescent="0.2">
      <c r="A29" s="396" t="s">
        <v>251</v>
      </c>
      <c r="B29" s="396"/>
      <c r="C29" s="397" t="s">
        <v>252</v>
      </c>
      <c r="D29" s="398">
        <v>43922</v>
      </c>
      <c r="E29" s="398">
        <v>51226</v>
      </c>
      <c r="F29" s="394"/>
      <c r="G29" s="421">
        <v>42461</v>
      </c>
      <c r="H29" s="421">
        <v>51226</v>
      </c>
      <c r="I29" s="417">
        <f>(H29-G29)/365.25</f>
        <v>23.997262149212869</v>
      </c>
      <c r="J29" s="404">
        <f>D5+D6+D7+D8+(D9)*0.8</f>
        <v>100498.6</v>
      </c>
      <c r="K29" s="404">
        <f>I5+I6+I7+I8+(I9)*0.8</f>
        <v>58453</v>
      </c>
      <c r="L29" s="404">
        <f>J29+K29</f>
        <v>158951.6</v>
      </c>
      <c r="AA29" s="394"/>
    </row>
    <row r="30" spans="1:32" s="399" customFormat="1" ht="19.149999999999999" customHeight="1" x14ac:dyDescent="0.2">
      <c r="A30" s="396" t="s">
        <v>226</v>
      </c>
      <c r="B30" s="396"/>
      <c r="C30" s="397" t="s">
        <v>253</v>
      </c>
      <c r="D30" s="398">
        <v>43556</v>
      </c>
      <c r="E30" s="398">
        <v>51226</v>
      </c>
      <c r="F30" s="394"/>
      <c r="G30" s="421">
        <v>43556</v>
      </c>
      <c r="H30" s="421">
        <v>51226</v>
      </c>
      <c r="I30" s="417">
        <f t="shared" ref="I30" si="7">(H30-G30)/365.25</f>
        <v>20.999315537303218</v>
      </c>
      <c r="J30" s="404">
        <f>(D5*0.4)+D6+D7+D8+(D9*0.8)</f>
        <v>89369.8</v>
      </c>
      <c r="K30" s="404">
        <f>(I5*0.4)+I6+I7+I8+(I9*0.8)</f>
        <v>51980.2</v>
      </c>
      <c r="L30" s="404">
        <f>J30+K30</f>
        <v>141350</v>
      </c>
      <c r="AA30" s="394"/>
    </row>
    <row r="31" spans="1:32" s="399" customFormat="1" ht="19.149999999999999" customHeight="1" x14ac:dyDescent="0.2">
      <c r="A31" s="396" t="s">
        <v>254</v>
      </c>
      <c r="B31" s="396"/>
      <c r="C31" s="404">
        <f>(D5*0.4)+D6+D7+D8+(D9*0.8)</f>
        <v>89369.8</v>
      </c>
      <c r="D31" s="398"/>
      <c r="E31" s="398"/>
      <c r="F31" s="416"/>
      <c r="G31" s="394"/>
      <c r="H31" s="394"/>
      <c r="I31" s="394"/>
      <c r="J31" s="394"/>
      <c r="K31" s="394"/>
      <c r="L31" s="394"/>
      <c r="AA31" s="394"/>
    </row>
    <row r="32" spans="1:32" s="399" customFormat="1" ht="19.149999999999999" customHeight="1" thickBot="1" x14ac:dyDescent="0.25">
      <c r="A32" s="396" t="s">
        <v>255</v>
      </c>
      <c r="B32" s="396"/>
      <c r="C32" s="410">
        <f>(I5*0.4)+I6+I7+I8+(I9*0.8)</f>
        <v>51980.2</v>
      </c>
      <c r="D32" s="398"/>
      <c r="E32" s="422"/>
      <c r="F32" s="394"/>
      <c r="G32" s="423"/>
      <c r="H32" s="423"/>
      <c r="I32" s="385"/>
      <c r="J32" s="385"/>
      <c r="K32" s="385"/>
      <c r="L32" s="385"/>
      <c r="AA32" s="394"/>
    </row>
    <row r="33" spans="1:27" s="399" customFormat="1" ht="19.149999999999999" customHeight="1" thickTop="1" x14ac:dyDescent="0.2">
      <c r="A33" s="412" t="s">
        <v>256</v>
      </c>
      <c r="B33" s="396"/>
      <c r="C33" s="413">
        <f>SUM(C31:C32)</f>
        <v>141350</v>
      </c>
      <c r="D33" s="398"/>
      <c r="E33" s="398"/>
      <c r="F33" s="394"/>
      <c r="G33" s="424"/>
      <c r="H33" s="424"/>
      <c r="I33" s="394"/>
      <c r="J33" s="394"/>
      <c r="K33" s="394"/>
      <c r="L33" s="394"/>
      <c r="AA33" s="394"/>
    </row>
    <row r="34" spans="1:27" s="399" customFormat="1" ht="19.149999999999999" customHeight="1" x14ac:dyDescent="0.2">
      <c r="A34" s="396" t="s">
        <v>242</v>
      </c>
      <c r="B34" s="396"/>
      <c r="C34" s="416">
        <f>C31/C33</f>
        <v>0.6322589317297489</v>
      </c>
      <c r="D34" s="422"/>
      <c r="E34" s="398"/>
      <c r="F34" s="394"/>
      <c r="G34" s="394"/>
      <c r="H34" s="394"/>
      <c r="I34" s="394"/>
      <c r="J34" s="394"/>
      <c r="K34" s="394"/>
      <c r="L34" s="394"/>
      <c r="M34" s="394"/>
      <c r="AA34" s="394"/>
    </row>
    <row r="35" spans="1:27" s="399" customFormat="1" ht="19.149999999999999" customHeight="1" x14ac:dyDescent="0.2">
      <c r="A35" s="396" t="s">
        <v>257</v>
      </c>
      <c r="B35" s="396"/>
      <c r="C35" s="416">
        <f>C32/C33</f>
        <v>0.3677410682702511</v>
      </c>
      <c r="D35" s="398"/>
      <c r="E35" s="398"/>
      <c r="F35" s="394"/>
      <c r="G35" s="394"/>
      <c r="H35" s="394"/>
      <c r="I35" s="394"/>
      <c r="J35" s="394"/>
      <c r="K35" s="394"/>
      <c r="L35" s="394"/>
      <c r="M35" s="394"/>
      <c r="AA35" s="394"/>
    </row>
    <row r="36" spans="1:27" s="399" customFormat="1" ht="19.149999999999999" customHeight="1" x14ac:dyDescent="0.2">
      <c r="A36" s="396" t="s">
        <v>258</v>
      </c>
      <c r="B36" s="396"/>
      <c r="C36" s="425">
        <f>1-L29/L28</f>
        <v>0.23407892834770871</v>
      </c>
      <c r="D36" s="398">
        <v>51227</v>
      </c>
      <c r="E36" s="398">
        <v>53417</v>
      </c>
      <c r="F36" s="394"/>
      <c r="G36" s="394"/>
      <c r="H36" s="394"/>
      <c r="I36" s="394"/>
      <c r="J36" s="394"/>
      <c r="K36" s="394"/>
      <c r="L36" s="394"/>
      <c r="M36" s="394"/>
      <c r="AA36" s="394"/>
    </row>
    <row r="37" spans="1:27" s="399" customFormat="1" ht="19.149999999999999" customHeight="1" x14ac:dyDescent="0.2">
      <c r="A37" s="394"/>
      <c r="B37" s="396"/>
      <c r="C37" s="396"/>
      <c r="D37" s="426"/>
      <c r="E37" s="427"/>
      <c r="F37" s="394"/>
      <c r="G37" s="394"/>
      <c r="H37" s="394"/>
      <c r="I37" s="394"/>
      <c r="J37" s="394"/>
      <c r="K37" s="394"/>
      <c r="L37" s="394"/>
      <c r="M37" s="394"/>
      <c r="AA37" s="394"/>
    </row>
    <row r="38" spans="1:27" s="399" customFormat="1" ht="19.149999999999999" customHeight="1" x14ac:dyDescent="0.2">
      <c r="A38" s="394"/>
      <c r="B38" s="394"/>
      <c r="C38" s="394"/>
      <c r="D38" s="394"/>
      <c r="E38" s="394"/>
      <c r="F38" s="394"/>
      <c r="G38" s="394"/>
      <c r="H38" s="394"/>
      <c r="I38" s="394"/>
      <c r="J38" s="394"/>
      <c r="K38" s="394"/>
      <c r="L38" s="394"/>
      <c r="M38" s="394"/>
      <c r="AA38" s="394"/>
    </row>
    <row r="39" spans="1:27" s="399" customFormat="1" ht="19.149999999999999" customHeight="1" x14ac:dyDescent="0.2">
      <c r="A39" s="394"/>
      <c r="B39" s="394"/>
      <c r="C39" s="394"/>
      <c r="D39" s="394"/>
      <c r="E39" s="394"/>
      <c r="F39" s="394"/>
      <c r="G39" s="394"/>
      <c r="H39" s="394"/>
      <c r="I39" s="394"/>
      <c r="J39" s="394"/>
      <c r="K39" s="394"/>
      <c r="L39" s="394"/>
      <c r="M39" s="394"/>
      <c r="AA39" s="394"/>
    </row>
    <row r="40" spans="1:27" s="399" customFormat="1" ht="19.149999999999999" customHeight="1" x14ac:dyDescent="0.2">
      <c r="A40" s="394"/>
      <c r="B40" s="394"/>
      <c r="C40" s="394"/>
      <c r="D40" s="394"/>
      <c r="E40" s="394"/>
      <c r="F40" s="394"/>
      <c r="G40" s="394"/>
      <c r="H40" s="394"/>
      <c r="I40" s="394"/>
      <c r="J40" s="394"/>
      <c r="K40" s="394"/>
      <c r="L40" s="394"/>
      <c r="M40" s="394"/>
      <c r="AA40" s="394"/>
    </row>
    <row r="41" spans="1:27" s="399" customFormat="1" ht="19.149999999999999" customHeight="1" x14ac:dyDescent="0.2">
      <c r="A41" s="394"/>
      <c r="B41" s="394"/>
      <c r="C41" s="394"/>
      <c r="D41" s="394"/>
      <c r="E41" s="394"/>
      <c r="F41" s="394"/>
      <c r="G41" s="394"/>
      <c r="H41" s="394"/>
      <c r="I41" s="394"/>
      <c r="J41" s="394"/>
      <c r="K41" s="394"/>
      <c r="L41" s="394"/>
      <c r="M41" s="394"/>
      <c r="AA41" s="394"/>
    </row>
    <row r="42" spans="1:27" s="399" customFormat="1" ht="19.149999999999999" customHeight="1" x14ac:dyDescent="0.2">
      <c r="A42" s="394"/>
      <c r="B42" s="394"/>
      <c r="C42" s="394"/>
      <c r="D42" s="394"/>
      <c r="E42" s="394"/>
      <c r="F42" s="394"/>
      <c r="G42" s="394"/>
      <c r="H42" s="394"/>
      <c r="I42" s="394"/>
      <c r="J42" s="394"/>
      <c r="K42" s="394"/>
      <c r="L42" s="394"/>
      <c r="M42" s="394"/>
      <c r="AA42" s="394"/>
    </row>
    <row r="43" spans="1:27" s="399" customFormat="1" ht="19.149999999999999" customHeight="1" x14ac:dyDescent="0.2">
      <c r="A43" s="394"/>
      <c r="B43" s="394"/>
      <c r="C43" s="394"/>
      <c r="D43" s="394"/>
      <c r="E43" s="394"/>
      <c r="F43" s="394"/>
      <c r="G43" s="394"/>
      <c r="H43" s="394"/>
      <c r="I43" s="394"/>
      <c r="J43" s="394"/>
      <c r="K43" s="394"/>
      <c r="L43" s="394"/>
      <c r="M43" s="394"/>
      <c r="AA43" s="394"/>
    </row>
    <row r="44" spans="1:27" s="399" customFormat="1" ht="19.149999999999999" customHeight="1" x14ac:dyDescent="0.2">
      <c r="A44" s="394"/>
      <c r="B44" s="394"/>
      <c r="C44" s="394"/>
      <c r="D44" s="394"/>
      <c r="E44" s="394"/>
      <c r="F44" s="394"/>
      <c r="G44" s="394"/>
      <c r="H44" s="394"/>
      <c r="I44" s="394"/>
      <c r="J44" s="394"/>
      <c r="K44" s="394"/>
      <c r="L44" s="394"/>
      <c r="M44" s="394"/>
      <c r="AA44" s="394"/>
    </row>
    <row r="45" spans="1:27" s="399" customFormat="1" ht="19.149999999999999" customHeight="1" x14ac:dyDescent="0.2">
      <c r="A45" s="394"/>
      <c r="B45" s="394"/>
      <c r="C45" s="394"/>
      <c r="D45" s="394"/>
      <c r="E45" s="394"/>
      <c r="F45" s="394"/>
      <c r="G45" s="394"/>
      <c r="H45" s="394"/>
      <c r="I45" s="394"/>
      <c r="J45" s="394"/>
      <c r="K45" s="394"/>
      <c r="L45" s="394"/>
      <c r="M45" s="394"/>
      <c r="AA45" s="394"/>
    </row>
    <row r="46" spans="1:27" s="399" customFormat="1" ht="19.149999999999999" customHeight="1" x14ac:dyDescent="0.2">
      <c r="A46" s="394"/>
      <c r="B46" s="394"/>
      <c r="C46" s="394"/>
      <c r="D46" s="394"/>
      <c r="E46" s="394"/>
      <c r="F46" s="394"/>
      <c r="G46" s="394"/>
      <c r="H46" s="394"/>
      <c r="I46" s="394"/>
      <c r="J46" s="394"/>
      <c r="K46" s="394"/>
      <c r="L46" s="394"/>
      <c r="M46" s="394"/>
      <c r="AA46" s="394"/>
    </row>
    <row r="47" spans="1:27" s="399" customFormat="1" ht="19.149999999999999" customHeight="1" x14ac:dyDescent="0.2">
      <c r="A47" s="394"/>
      <c r="B47" s="394"/>
      <c r="C47" s="394"/>
      <c r="D47" s="394"/>
      <c r="E47" s="394"/>
      <c r="F47" s="394"/>
      <c r="G47" s="394"/>
      <c r="H47" s="394"/>
      <c r="I47" s="394"/>
      <c r="J47" s="394"/>
      <c r="K47" s="394"/>
      <c r="L47" s="394"/>
      <c r="M47" s="394"/>
      <c r="AA47" s="394"/>
    </row>
    <row r="48" spans="1:27" s="399" customFormat="1" ht="19.149999999999999" customHeight="1" x14ac:dyDescent="0.2">
      <c r="A48" s="394"/>
      <c r="B48" s="394"/>
      <c r="C48" s="394"/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AA48" s="394"/>
    </row>
    <row r="49" spans="1:27" s="399" customFormat="1" ht="19.149999999999999" customHeight="1" x14ac:dyDescent="0.2">
      <c r="A49" s="394"/>
      <c r="B49" s="394"/>
      <c r="C49" s="394"/>
      <c r="D49" s="394"/>
      <c r="E49" s="394"/>
      <c r="F49" s="394"/>
      <c r="G49" s="394"/>
      <c r="H49" s="394"/>
      <c r="I49" s="394"/>
      <c r="J49" s="394"/>
      <c r="K49" s="394"/>
      <c r="L49" s="394"/>
      <c r="M49" s="394"/>
      <c r="AA49" s="394"/>
    </row>
    <row r="50" spans="1:27" s="399" customFormat="1" ht="19.149999999999999" customHeight="1" x14ac:dyDescent="0.2">
      <c r="A50" s="394"/>
      <c r="B50" s="394"/>
      <c r="C50" s="394"/>
      <c r="D50" s="394"/>
      <c r="E50" s="394"/>
      <c r="F50" s="394"/>
      <c r="G50" s="394"/>
      <c r="H50" s="394"/>
      <c r="I50" s="394"/>
      <c r="J50" s="394"/>
      <c r="K50" s="394"/>
      <c r="L50" s="394"/>
      <c r="M50" s="394"/>
      <c r="AA50" s="394"/>
    </row>
    <row r="51" spans="1:27" s="399" customFormat="1" ht="19.149999999999999" customHeight="1" x14ac:dyDescent="0.2">
      <c r="A51" s="394"/>
      <c r="B51" s="394"/>
      <c r="C51" s="394"/>
      <c r="D51" s="394"/>
      <c r="E51" s="394"/>
      <c r="F51" s="394"/>
      <c r="G51" s="394"/>
      <c r="H51" s="394"/>
      <c r="I51" s="394"/>
      <c r="J51" s="394"/>
      <c r="K51" s="394"/>
      <c r="L51" s="394"/>
      <c r="M51" s="394"/>
      <c r="AA51" s="394"/>
    </row>
    <row r="52" spans="1:27" s="399" customFormat="1" ht="19.149999999999999" customHeight="1" x14ac:dyDescent="0.2">
      <c r="A52" s="394"/>
      <c r="B52" s="394"/>
      <c r="C52" s="394"/>
      <c r="D52" s="394"/>
      <c r="E52" s="394"/>
      <c r="F52" s="394"/>
      <c r="G52" s="394"/>
      <c r="H52" s="394"/>
      <c r="I52" s="394"/>
      <c r="J52" s="394"/>
      <c r="K52" s="394"/>
      <c r="L52" s="394"/>
      <c r="M52" s="394"/>
      <c r="AA52" s="394"/>
    </row>
    <row r="53" spans="1:27" s="399" customFormat="1" ht="19.149999999999999" customHeight="1" x14ac:dyDescent="0.2">
      <c r="A53" s="394"/>
      <c r="B53" s="394"/>
      <c r="C53" s="394"/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AA53" s="394"/>
    </row>
    <row r="54" spans="1:27" s="399" customFormat="1" ht="19.149999999999999" customHeight="1" x14ac:dyDescent="0.2">
      <c r="A54" s="394"/>
      <c r="B54" s="394"/>
      <c r="C54" s="394"/>
      <c r="D54" s="394"/>
      <c r="E54" s="394"/>
      <c r="F54" s="394"/>
      <c r="G54" s="394"/>
      <c r="H54" s="394"/>
      <c r="I54" s="394"/>
      <c r="J54" s="394"/>
      <c r="K54" s="394"/>
      <c r="L54" s="394"/>
      <c r="M54" s="394"/>
      <c r="AA54" s="394"/>
    </row>
    <row r="55" spans="1:27" s="399" customFormat="1" ht="19.149999999999999" customHeight="1" x14ac:dyDescent="0.2">
      <c r="A55" s="394"/>
      <c r="B55" s="394"/>
      <c r="C55" s="394"/>
      <c r="D55" s="394"/>
      <c r="E55" s="394"/>
      <c r="F55" s="394"/>
      <c r="G55" s="394"/>
      <c r="H55" s="394"/>
      <c r="I55" s="394"/>
      <c r="J55" s="394"/>
      <c r="K55" s="394"/>
      <c r="L55" s="394"/>
      <c r="M55" s="394"/>
      <c r="AA55" s="394"/>
    </row>
    <row r="56" spans="1:27" s="399" customFormat="1" ht="19.149999999999999" customHeight="1" x14ac:dyDescent="0.2">
      <c r="A56" s="394"/>
      <c r="B56" s="394"/>
      <c r="C56" s="394"/>
      <c r="D56" s="394"/>
      <c r="E56" s="394"/>
      <c r="F56" s="394"/>
      <c r="G56" s="394"/>
      <c r="H56" s="394"/>
      <c r="I56" s="394"/>
      <c r="J56" s="394"/>
      <c r="K56" s="394"/>
      <c r="L56" s="394"/>
      <c r="M56" s="394"/>
      <c r="AA56" s="394"/>
    </row>
    <row r="57" spans="1:27" s="399" customFormat="1" ht="19.149999999999999" customHeight="1" x14ac:dyDescent="0.2">
      <c r="A57" s="394"/>
      <c r="B57" s="394"/>
      <c r="C57" s="394"/>
      <c r="D57" s="394"/>
      <c r="E57" s="394"/>
      <c r="F57" s="394"/>
      <c r="G57" s="394"/>
      <c r="H57" s="394"/>
      <c r="I57" s="394"/>
      <c r="J57" s="394"/>
      <c r="K57" s="394"/>
      <c r="L57" s="394"/>
      <c r="M57" s="394"/>
      <c r="AA57" s="394"/>
    </row>
    <row r="58" spans="1:27" s="399" customFormat="1" ht="19.149999999999999" customHeight="1" x14ac:dyDescent="0.2">
      <c r="A58" s="394"/>
      <c r="B58" s="394"/>
      <c r="C58" s="394"/>
      <c r="D58" s="394"/>
      <c r="E58" s="394"/>
      <c r="F58" s="394"/>
      <c r="G58" s="394"/>
      <c r="H58" s="394"/>
      <c r="I58" s="394"/>
      <c r="J58" s="394"/>
      <c r="K58" s="394"/>
      <c r="L58" s="394"/>
      <c r="M58" s="394"/>
      <c r="AA58" s="394"/>
    </row>
    <row r="59" spans="1:27" s="399" customFormat="1" ht="19.149999999999999" customHeight="1" x14ac:dyDescent="0.2">
      <c r="A59" s="394"/>
      <c r="B59" s="394"/>
      <c r="C59" s="394"/>
      <c r="D59" s="394"/>
      <c r="E59" s="394"/>
      <c r="F59" s="394"/>
      <c r="G59" s="394"/>
      <c r="H59" s="394"/>
      <c r="I59" s="394"/>
      <c r="J59" s="394"/>
      <c r="K59" s="394"/>
      <c r="L59" s="394"/>
      <c r="M59" s="394"/>
      <c r="AA59" s="394"/>
    </row>
    <row r="60" spans="1:27" s="399" customFormat="1" ht="19.149999999999999" customHeight="1" x14ac:dyDescent="0.2">
      <c r="A60" s="394"/>
      <c r="B60" s="394"/>
      <c r="C60" s="394"/>
      <c r="D60" s="394"/>
      <c r="E60" s="394"/>
      <c r="F60" s="394"/>
      <c r="G60" s="394"/>
      <c r="H60" s="394"/>
      <c r="I60" s="394"/>
      <c r="J60" s="394"/>
      <c r="K60" s="394"/>
      <c r="L60" s="394"/>
      <c r="M60" s="394"/>
      <c r="AA60" s="394"/>
    </row>
    <row r="61" spans="1:27" s="399" customFormat="1" ht="19.149999999999999" customHeight="1" x14ac:dyDescent="0.2">
      <c r="A61" s="394"/>
      <c r="B61" s="394"/>
      <c r="C61" s="394"/>
      <c r="D61" s="394"/>
      <c r="E61" s="394"/>
      <c r="F61" s="394"/>
      <c r="G61" s="394"/>
      <c r="H61" s="394"/>
      <c r="I61" s="394"/>
      <c r="J61" s="394"/>
      <c r="K61" s="394"/>
      <c r="L61" s="394"/>
      <c r="M61" s="394"/>
      <c r="AA61" s="394"/>
    </row>
    <row r="62" spans="1:27" s="399" customFormat="1" ht="19.149999999999999" customHeight="1" x14ac:dyDescent="0.2">
      <c r="A62" s="394"/>
      <c r="B62" s="394"/>
      <c r="C62" s="394"/>
      <c r="D62" s="394"/>
      <c r="E62" s="394"/>
      <c r="F62" s="394"/>
      <c r="G62" s="394"/>
      <c r="H62" s="394"/>
      <c r="I62" s="394"/>
      <c r="J62" s="394"/>
      <c r="K62" s="394"/>
      <c r="L62" s="394"/>
      <c r="M62" s="394"/>
      <c r="AA62" s="394"/>
    </row>
    <row r="63" spans="1:27" s="399" customFormat="1" ht="19.149999999999999" customHeight="1" x14ac:dyDescent="0.2">
      <c r="A63" s="394"/>
      <c r="B63" s="394"/>
      <c r="C63" s="394"/>
      <c r="D63" s="394"/>
      <c r="E63" s="394"/>
      <c r="F63" s="394"/>
      <c r="G63" s="394"/>
      <c r="H63" s="394"/>
      <c r="I63" s="394"/>
      <c r="J63" s="394"/>
      <c r="K63" s="394"/>
      <c r="L63" s="394"/>
      <c r="M63" s="394"/>
      <c r="AA63" s="394"/>
    </row>
    <row r="64" spans="1:27" s="399" customFormat="1" ht="19.149999999999999" customHeight="1" x14ac:dyDescent="0.2">
      <c r="A64" s="394"/>
      <c r="B64" s="394"/>
      <c r="C64" s="394"/>
      <c r="D64" s="394"/>
      <c r="E64" s="394"/>
      <c r="F64" s="394"/>
      <c r="G64" s="394"/>
      <c r="H64" s="394"/>
      <c r="I64" s="394"/>
      <c r="J64" s="394"/>
      <c r="K64" s="394"/>
      <c r="L64" s="394"/>
      <c r="M64" s="394"/>
      <c r="AA64" s="394"/>
    </row>
    <row r="65" spans="1:27" s="399" customFormat="1" ht="19.149999999999999" customHeight="1" x14ac:dyDescent="0.2">
      <c r="A65" s="394"/>
      <c r="B65" s="394"/>
      <c r="C65" s="394"/>
      <c r="D65" s="394"/>
      <c r="E65" s="394"/>
      <c r="F65" s="394"/>
      <c r="G65" s="394"/>
      <c r="H65" s="394"/>
      <c r="I65" s="394"/>
      <c r="J65" s="394"/>
      <c r="K65" s="394"/>
      <c r="L65" s="394"/>
      <c r="M65" s="394"/>
      <c r="AA65" s="394"/>
    </row>
    <row r="66" spans="1:27" s="399" customFormat="1" ht="19.149999999999999" customHeight="1" x14ac:dyDescent="0.2">
      <c r="A66" s="394"/>
      <c r="B66" s="394"/>
      <c r="C66" s="394"/>
      <c r="D66" s="394"/>
      <c r="E66" s="394"/>
      <c r="F66" s="394"/>
      <c r="G66" s="394"/>
      <c r="H66" s="394"/>
      <c r="I66" s="394"/>
      <c r="J66" s="394"/>
      <c r="K66" s="394"/>
      <c r="L66" s="394"/>
      <c r="M66" s="394"/>
      <c r="AA66" s="394"/>
    </row>
    <row r="67" spans="1:27" s="399" customFormat="1" ht="19.149999999999999" customHeight="1" x14ac:dyDescent="0.2">
      <c r="A67" s="394"/>
      <c r="B67" s="394"/>
      <c r="C67" s="394"/>
      <c r="D67" s="394"/>
      <c r="E67" s="394"/>
      <c r="F67" s="394"/>
      <c r="G67" s="394"/>
      <c r="H67" s="394"/>
      <c r="I67" s="394"/>
      <c r="J67" s="394"/>
      <c r="K67" s="394"/>
      <c r="L67" s="394"/>
      <c r="M67" s="394"/>
      <c r="AA67" s="394"/>
    </row>
    <row r="68" spans="1:27" s="399" customFormat="1" ht="19.149999999999999" customHeight="1" x14ac:dyDescent="0.2">
      <c r="A68" s="394"/>
      <c r="B68" s="394"/>
      <c r="C68" s="394"/>
      <c r="D68" s="394"/>
      <c r="E68" s="394"/>
      <c r="F68" s="394"/>
      <c r="G68" s="394"/>
      <c r="H68" s="394"/>
      <c r="I68" s="394"/>
      <c r="J68" s="394"/>
      <c r="K68" s="394"/>
      <c r="L68" s="394"/>
      <c r="M68" s="394"/>
      <c r="AA68" s="394"/>
    </row>
    <row r="69" spans="1:27" s="399" customFormat="1" ht="19.149999999999999" customHeight="1" x14ac:dyDescent="0.2">
      <c r="A69" s="394"/>
      <c r="B69" s="394"/>
      <c r="C69" s="394"/>
      <c r="D69" s="394"/>
      <c r="E69" s="394"/>
      <c r="F69" s="394"/>
      <c r="G69" s="394"/>
      <c r="H69" s="394"/>
      <c r="I69" s="394"/>
      <c r="J69" s="394"/>
      <c r="K69" s="394"/>
      <c r="L69" s="394"/>
      <c r="M69" s="394"/>
      <c r="AA69" s="394"/>
    </row>
    <row r="70" spans="1:27" s="399" customFormat="1" ht="19.149999999999999" customHeight="1" x14ac:dyDescent="0.2">
      <c r="A70" s="394"/>
      <c r="B70" s="394"/>
      <c r="C70" s="394"/>
      <c r="D70" s="394"/>
      <c r="E70" s="394"/>
      <c r="F70" s="394"/>
      <c r="G70" s="394"/>
      <c r="H70" s="394"/>
      <c r="I70" s="394"/>
      <c r="J70" s="394"/>
      <c r="K70" s="394"/>
      <c r="L70" s="394"/>
      <c r="M70" s="394"/>
      <c r="AA70" s="394"/>
    </row>
    <row r="71" spans="1:27" s="399" customFormat="1" ht="19.149999999999999" customHeight="1" x14ac:dyDescent="0.2">
      <c r="A71" s="394"/>
      <c r="B71" s="394"/>
      <c r="C71" s="394"/>
      <c r="D71" s="394"/>
      <c r="E71" s="394"/>
      <c r="F71" s="394"/>
      <c r="G71" s="394"/>
      <c r="H71" s="394"/>
      <c r="I71" s="394"/>
      <c r="J71" s="394"/>
      <c r="K71" s="394"/>
      <c r="L71" s="394"/>
      <c r="M71" s="394"/>
      <c r="AA71" s="394"/>
    </row>
    <row r="72" spans="1:27" s="399" customFormat="1" ht="19.149999999999999" customHeight="1" x14ac:dyDescent="0.2">
      <c r="A72" s="394"/>
      <c r="B72" s="394"/>
      <c r="C72" s="394"/>
      <c r="D72" s="394"/>
      <c r="E72" s="394"/>
      <c r="F72" s="394"/>
      <c r="G72" s="394"/>
      <c r="H72" s="394"/>
      <c r="I72" s="394"/>
      <c r="J72" s="394"/>
      <c r="K72" s="394"/>
      <c r="L72" s="394"/>
      <c r="M72" s="394"/>
      <c r="AA72" s="394"/>
    </row>
    <row r="73" spans="1:27" s="399" customFormat="1" ht="19.149999999999999" customHeight="1" x14ac:dyDescent="0.2">
      <c r="A73" s="394"/>
      <c r="B73" s="394"/>
      <c r="C73" s="394"/>
      <c r="D73" s="394"/>
      <c r="E73" s="394"/>
      <c r="F73" s="394"/>
      <c r="G73" s="394"/>
      <c r="H73" s="394"/>
      <c r="I73" s="394"/>
      <c r="J73" s="394"/>
      <c r="K73" s="394"/>
      <c r="L73" s="394"/>
      <c r="M73" s="394"/>
      <c r="AA73" s="394"/>
    </row>
    <row r="74" spans="1:27" s="399" customFormat="1" ht="19.149999999999999" customHeight="1" x14ac:dyDescent="0.2">
      <c r="A74" s="394"/>
      <c r="B74" s="394"/>
      <c r="C74" s="394"/>
      <c r="D74" s="394"/>
      <c r="E74" s="394"/>
      <c r="F74" s="394"/>
      <c r="G74" s="394"/>
      <c r="H74" s="394"/>
      <c r="I74" s="394"/>
      <c r="J74" s="394"/>
      <c r="K74" s="394"/>
      <c r="L74" s="394"/>
      <c r="M74" s="394"/>
      <c r="AA74" s="394"/>
    </row>
    <row r="75" spans="1:27" s="399" customFormat="1" ht="19.149999999999999" customHeight="1" x14ac:dyDescent="0.2">
      <c r="A75" s="394"/>
      <c r="B75" s="394"/>
      <c r="C75" s="394"/>
      <c r="D75" s="394"/>
      <c r="E75" s="394"/>
      <c r="F75" s="394"/>
      <c r="G75" s="394"/>
      <c r="H75" s="394"/>
      <c r="I75" s="394"/>
      <c r="J75" s="394"/>
      <c r="K75" s="394"/>
      <c r="L75" s="394"/>
      <c r="M75" s="394"/>
      <c r="AA75" s="394"/>
    </row>
    <row r="76" spans="1:27" s="399" customFormat="1" ht="19.149999999999999" customHeight="1" x14ac:dyDescent="0.2">
      <c r="A76" s="394"/>
      <c r="B76" s="394"/>
      <c r="C76" s="394"/>
      <c r="D76" s="394"/>
      <c r="E76" s="394"/>
      <c r="F76" s="394"/>
      <c r="G76" s="394"/>
      <c r="H76" s="394"/>
      <c r="I76" s="394"/>
      <c r="J76" s="394"/>
      <c r="K76" s="394"/>
      <c r="L76" s="394"/>
      <c r="M76" s="394"/>
      <c r="AA76" s="394"/>
    </row>
    <row r="77" spans="1:27" s="399" customFormat="1" ht="19.149999999999999" customHeight="1" x14ac:dyDescent="0.2">
      <c r="A77" s="394"/>
      <c r="B77" s="394"/>
      <c r="C77" s="394"/>
      <c r="D77" s="394"/>
      <c r="E77" s="394"/>
      <c r="F77" s="394"/>
      <c r="G77" s="394"/>
      <c r="H77" s="394"/>
      <c r="I77" s="394"/>
      <c r="J77" s="394"/>
      <c r="K77" s="394"/>
      <c r="L77" s="394"/>
      <c r="M77" s="394"/>
      <c r="AA77" s="394"/>
    </row>
    <row r="78" spans="1:27" s="399" customFormat="1" ht="19.149999999999999" customHeight="1" x14ac:dyDescent="0.2">
      <c r="A78" s="394"/>
      <c r="B78" s="394"/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AA78" s="394"/>
    </row>
    <row r="79" spans="1:27" s="399" customFormat="1" ht="19.149999999999999" customHeight="1" x14ac:dyDescent="0.2">
      <c r="A79" s="394"/>
      <c r="B79" s="394"/>
      <c r="C79" s="394"/>
      <c r="D79" s="394"/>
      <c r="E79" s="394"/>
      <c r="F79" s="394"/>
      <c r="G79" s="394"/>
      <c r="H79" s="394"/>
      <c r="I79" s="394"/>
      <c r="J79" s="394"/>
      <c r="K79" s="394"/>
      <c r="L79" s="394"/>
      <c r="M79" s="394"/>
      <c r="AA79" s="394"/>
    </row>
    <row r="80" spans="1:27" s="399" customFormat="1" ht="19.149999999999999" customHeight="1" x14ac:dyDescent="0.2">
      <c r="A80" s="394"/>
      <c r="B80" s="394"/>
      <c r="C80" s="394"/>
      <c r="D80" s="394"/>
      <c r="E80" s="394"/>
      <c r="F80" s="394"/>
      <c r="G80" s="394"/>
      <c r="H80" s="394"/>
      <c r="I80" s="394"/>
      <c r="J80" s="394"/>
      <c r="K80" s="394"/>
      <c r="L80" s="394"/>
      <c r="M80" s="394"/>
      <c r="AA80" s="394"/>
    </row>
    <row r="81" spans="1:27" s="399" customFormat="1" ht="19.149999999999999" customHeight="1" x14ac:dyDescent="0.2">
      <c r="A81" s="394"/>
      <c r="B81" s="394"/>
      <c r="C81" s="394"/>
      <c r="D81" s="394"/>
      <c r="E81" s="394"/>
      <c r="F81" s="394"/>
      <c r="G81" s="394"/>
      <c r="H81" s="394"/>
      <c r="I81" s="394"/>
      <c r="J81" s="394"/>
      <c r="K81" s="394"/>
      <c r="L81" s="394"/>
      <c r="M81" s="394"/>
      <c r="AA81" s="394"/>
    </row>
    <row r="82" spans="1:27" s="399" customFormat="1" ht="19.149999999999999" customHeight="1" x14ac:dyDescent="0.2">
      <c r="A82" s="394"/>
      <c r="B82" s="394"/>
      <c r="C82" s="394"/>
      <c r="D82" s="394"/>
      <c r="E82" s="394"/>
      <c r="F82" s="394"/>
      <c r="G82" s="394"/>
      <c r="H82" s="394"/>
      <c r="I82" s="394"/>
      <c r="J82" s="394"/>
      <c r="K82" s="394"/>
      <c r="L82" s="394"/>
      <c r="M82" s="394"/>
      <c r="AA82" s="394"/>
    </row>
    <row r="83" spans="1:27" s="399" customFormat="1" ht="19.149999999999999" customHeight="1" x14ac:dyDescent="0.2">
      <c r="A83" s="394"/>
      <c r="B83" s="394"/>
      <c r="C83" s="394"/>
      <c r="D83" s="394"/>
      <c r="E83" s="394"/>
      <c r="F83" s="394"/>
      <c r="G83" s="394"/>
      <c r="H83" s="394"/>
      <c r="I83" s="394"/>
      <c r="J83" s="394"/>
      <c r="K83" s="394"/>
      <c r="L83" s="394"/>
      <c r="M83" s="394"/>
      <c r="AA83" s="394"/>
    </row>
    <row r="84" spans="1:27" s="399" customFormat="1" ht="19.149999999999999" customHeight="1" x14ac:dyDescent="0.2">
      <c r="A84" s="394"/>
      <c r="B84" s="394"/>
      <c r="C84" s="394"/>
      <c r="D84" s="394"/>
      <c r="E84" s="394"/>
      <c r="F84" s="394"/>
      <c r="G84" s="394"/>
      <c r="H84" s="394"/>
      <c r="I84" s="394"/>
      <c r="J84" s="394"/>
      <c r="K84" s="394"/>
      <c r="L84" s="394"/>
      <c r="M84" s="394"/>
      <c r="AA84" s="394"/>
    </row>
    <row r="85" spans="1:27" s="399" customFormat="1" ht="19.149999999999999" customHeight="1" x14ac:dyDescent="0.2">
      <c r="A85" s="394"/>
      <c r="B85" s="394"/>
      <c r="C85" s="394"/>
      <c r="D85" s="394"/>
      <c r="E85" s="394"/>
      <c r="F85" s="394"/>
      <c r="G85" s="394"/>
      <c r="H85" s="394"/>
      <c r="I85" s="394"/>
      <c r="J85" s="394"/>
      <c r="K85" s="394"/>
      <c r="L85" s="394"/>
      <c r="M85" s="394"/>
      <c r="AA85" s="394"/>
    </row>
    <row r="86" spans="1:27" s="399" customFormat="1" ht="19.149999999999999" customHeight="1" x14ac:dyDescent="0.2">
      <c r="A86" s="394"/>
      <c r="B86" s="394"/>
      <c r="C86" s="394"/>
      <c r="D86" s="394"/>
      <c r="E86" s="394"/>
      <c r="F86" s="394"/>
      <c r="G86" s="394"/>
      <c r="H86" s="394"/>
      <c r="I86" s="394"/>
      <c r="J86" s="394"/>
      <c r="K86" s="394"/>
      <c r="L86" s="394"/>
      <c r="M86" s="394"/>
      <c r="AA86" s="394"/>
    </row>
    <row r="87" spans="1:27" s="399" customFormat="1" ht="19.149999999999999" customHeight="1" x14ac:dyDescent="0.2">
      <c r="A87" s="394"/>
      <c r="B87" s="394"/>
      <c r="C87" s="394"/>
      <c r="D87" s="394"/>
      <c r="E87" s="394"/>
      <c r="F87" s="394"/>
      <c r="G87" s="394"/>
      <c r="H87" s="394"/>
      <c r="I87" s="394"/>
      <c r="J87" s="394"/>
      <c r="K87" s="394"/>
      <c r="L87" s="394"/>
      <c r="M87" s="394"/>
      <c r="AA87" s="394"/>
    </row>
    <row r="88" spans="1:27" s="399" customFormat="1" ht="19.149999999999999" customHeight="1" x14ac:dyDescent="0.2">
      <c r="A88" s="394"/>
      <c r="B88" s="394"/>
      <c r="C88" s="394"/>
      <c r="D88" s="394"/>
      <c r="E88" s="394"/>
      <c r="F88" s="394"/>
      <c r="G88" s="394"/>
      <c r="H88" s="394"/>
      <c r="I88" s="394"/>
      <c r="J88" s="394"/>
      <c r="K88" s="394"/>
      <c r="L88" s="394"/>
      <c r="M88" s="394"/>
      <c r="AA88" s="394"/>
    </row>
    <row r="89" spans="1:27" s="399" customFormat="1" ht="19.149999999999999" customHeight="1" x14ac:dyDescent="0.2">
      <c r="A89" s="394"/>
      <c r="B89" s="394"/>
      <c r="C89" s="394"/>
      <c r="D89" s="394"/>
      <c r="E89" s="394"/>
      <c r="F89" s="394"/>
      <c r="G89" s="394"/>
      <c r="H89" s="394"/>
      <c r="I89" s="394"/>
      <c r="J89" s="394"/>
      <c r="K89" s="394"/>
      <c r="L89" s="394"/>
      <c r="M89" s="394"/>
      <c r="AA89" s="394"/>
    </row>
    <row r="90" spans="1:27" s="399" customFormat="1" ht="19.149999999999999" customHeight="1" x14ac:dyDescent="0.2">
      <c r="A90" s="394"/>
      <c r="B90" s="394"/>
      <c r="C90" s="394"/>
      <c r="D90" s="394"/>
      <c r="E90" s="394"/>
      <c r="F90" s="394"/>
      <c r="G90" s="394"/>
      <c r="H90" s="394"/>
      <c r="I90" s="394"/>
      <c r="J90" s="394"/>
      <c r="K90" s="394"/>
      <c r="L90" s="394"/>
      <c r="M90" s="394"/>
      <c r="AA90" s="394"/>
    </row>
    <row r="91" spans="1:27" s="399" customFormat="1" ht="19.149999999999999" customHeight="1" x14ac:dyDescent="0.2">
      <c r="A91" s="394"/>
      <c r="B91" s="394"/>
      <c r="C91" s="394"/>
      <c r="D91" s="394"/>
      <c r="E91" s="394"/>
      <c r="F91" s="394"/>
      <c r="G91" s="394"/>
      <c r="H91" s="394"/>
      <c r="I91" s="394"/>
      <c r="J91" s="394"/>
      <c r="K91" s="394"/>
      <c r="L91" s="394"/>
      <c r="M91" s="394"/>
      <c r="AA91" s="394"/>
    </row>
    <row r="92" spans="1:27" s="399" customFormat="1" ht="19.149999999999999" customHeight="1" x14ac:dyDescent="0.2">
      <c r="A92" s="394"/>
      <c r="B92" s="394"/>
      <c r="C92" s="394"/>
      <c r="D92" s="394"/>
      <c r="E92" s="394"/>
      <c r="F92" s="394"/>
      <c r="G92" s="394"/>
      <c r="H92" s="394"/>
      <c r="I92" s="394"/>
      <c r="J92" s="394"/>
      <c r="K92" s="394"/>
      <c r="L92" s="394"/>
      <c r="M92" s="394"/>
      <c r="AA92" s="394"/>
    </row>
    <row r="93" spans="1:27" s="399" customFormat="1" ht="19.149999999999999" customHeight="1" x14ac:dyDescent="0.2">
      <c r="A93" s="394"/>
      <c r="B93" s="394"/>
      <c r="C93" s="394"/>
      <c r="D93" s="394"/>
      <c r="E93" s="394"/>
      <c r="F93" s="394"/>
      <c r="G93" s="394"/>
      <c r="H93" s="394"/>
      <c r="I93" s="394"/>
      <c r="J93" s="394"/>
      <c r="K93" s="394"/>
      <c r="L93" s="394"/>
      <c r="M93" s="394"/>
      <c r="AA93" s="394"/>
    </row>
    <row r="94" spans="1:27" s="399" customFormat="1" ht="19.149999999999999" customHeight="1" x14ac:dyDescent="0.2">
      <c r="A94" s="394"/>
      <c r="B94" s="394"/>
      <c r="C94" s="394"/>
      <c r="D94" s="394"/>
      <c r="E94" s="394"/>
      <c r="F94" s="394"/>
      <c r="G94" s="394"/>
      <c r="H94" s="394"/>
      <c r="I94" s="394"/>
      <c r="J94" s="394"/>
      <c r="K94" s="394"/>
      <c r="L94" s="394"/>
      <c r="M94" s="394"/>
      <c r="AA94" s="394"/>
    </row>
    <row r="95" spans="1:27" s="399" customFormat="1" ht="19.149999999999999" customHeight="1" x14ac:dyDescent="0.2">
      <c r="A95" s="394"/>
      <c r="B95" s="394"/>
      <c r="C95" s="394"/>
      <c r="D95" s="394"/>
      <c r="E95" s="394"/>
      <c r="F95" s="394"/>
      <c r="G95" s="394"/>
      <c r="H95" s="394"/>
      <c r="I95" s="394"/>
      <c r="J95" s="394"/>
      <c r="K95" s="394"/>
      <c r="L95" s="394"/>
      <c r="M95" s="394"/>
      <c r="AA95" s="394"/>
    </row>
    <row r="96" spans="1:27" s="399" customFormat="1" ht="19.149999999999999" customHeight="1" x14ac:dyDescent="0.2">
      <c r="A96" s="394"/>
      <c r="B96" s="394"/>
      <c r="C96" s="394"/>
      <c r="D96" s="394"/>
      <c r="E96" s="394"/>
      <c r="F96" s="394"/>
      <c r="G96" s="394"/>
      <c r="H96" s="394"/>
      <c r="I96" s="394"/>
      <c r="J96" s="394"/>
      <c r="K96" s="394"/>
      <c r="L96" s="394"/>
      <c r="M96" s="394"/>
      <c r="AA96" s="394"/>
    </row>
    <row r="97" spans="1:27" s="399" customFormat="1" ht="19.149999999999999" customHeight="1" x14ac:dyDescent="0.2">
      <c r="A97" s="394"/>
      <c r="B97" s="394"/>
      <c r="C97" s="394"/>
      <c r="D97" s="394"/>
      <c r="E97" s="394"/>
      <c r="F97" s="394"/>
      <c r="G97" s="394"/>
      <c r="H97" s="394"/>
      <c r="I97" s="394"/>
      <c r="J97" s="394"/>
      <c r="K97" s="394"/>
      <c r="L97" s="394"/>
      <c r="M97" s="394"/>
      <c r="AA97" s="394"/>
    </row>
    <row r="98" spans="1:27" s="399" customFormat="1" ht="19.149999999999999" customHeight="1" x14ac:dyDescent="0.2">
      <c r="A98" s="394"/>
      <c r="B98" s="394"/>
      <c r="C98" s="394"/>
      <c r="D98" s="394"/>
      <c r="E98" s="394"/>
      <c r="F98" s="394"/>
      <c r="G98" s="394"/>
      <c r="H98" s="394"/>
      <c r="I98" s="394"/>
      <c r="J98" s="394"/>
      <c r="K98" s="394"/>
      <c r="L98" s="394"/>
      <c r="M98" s="394"/>
      <c r="AA98" s="394"/>
    </row>
    <row r="99" spans="1:27" s="399" customFormat="1" ht="19.149999999999999" customHeight="1" x14ac:dyDescent="0.2">
      <c r="A99" s="394"/>
      <c r="B99" s="394"/>
      <c r="C99" s="394"/>
      <c r="D99" s="394"/>
      <c r="E99" s="394"/>
      <c r="F99" s="394"/>
      <c r="G99" s="394"/>
      <c r="H99" s="394"/>
      <c r="I99" s="394"/>
      <c r="J99" s="394"/>
      <c r="K99" s="394"/>
      <c r="L99" s="394"/>
      <c r="M99" s="394"/>
      <c r="AA99" s="394"/>
    </row>
    <row r="100" spans="1:27" s="399" customFormat="1" ht="19.149999999999999" customHeight="1" x14ac:dyDescent="0.2">
      <c r="A100" s="394"/>
      <c r="B100" s="394"/>
      <c r="C100" s="394"/>
      <c r="D100" s="394"/>
      <c r="E100" s="394"/>
      <c r="F100" s="394"/>
      <c r="G100" s="394"/>
      <c r="H100" s="394"/>
      <c r="I100" s="394"/>
      <c r="J100" s="394"/>
      <c r="K100" s="394"/>
      <c r="L100" s="394"/>
      <c r="M100" s="394"/>
      <c r="AA100" s="394"/>
    </row>
    <row r="101" spans="1:27" s="399" customFormat="1" ht="19.149999999999999" customHeight="1" x14ac:dyDescent="0.2">
      <c r="A101" s="394"/>
      <c r="B101" s="394"/>
      <c r="C101" s="394"/>
      <c r="D101" s="394"/>
      <c r="E101" s="394"/>
      <c r="F101" s="394"/>
      <c r="G101" s="394"/>
      <c r="H101" s="394"/>
      <c r="I101" s="394"/>
      <c r="J101" s="394"/>
      <c r="K101" s="394"/>
      <c r="L101" s="394"/>
      <c r="M101" s="394"/>
      <c r="AA101" s="394"/>
    </row>
    <row r="102" spans="1:27" s="399" customFormat="1" ht="19.149999999999999" customHeight="1" x14ac:dyDescent="0.2">
      <c r="A102" s="394"/>
      <c r="B102" s="394"/>
      <c r="C102" s="394"/>
      <c r="D102" s="394"/>
      <c r="E102" s="394"/>
      <c r="F102" s="394"/>
      <c r="G102" s="394"/>
      <c r="H102" s="394"/>
      <c r="I102" s="394"/>
      <c r="J102" s="394"/>
      <c r="K102" s="394"/>
      <c r="L102" s="394"/>
      <c r="M102" s="394"/>
      <c r="AA102" s="394"/>
    </row>
    <row r="103" spans="1:27" s="399" customFormat="1" ht="19.149999999999999" customHeight="1" x14ac:dyDescent="0.2">
      <c r="A103" s="394"/>
      <c r="B103" s="394"/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  <c r="M103" s="394"/>
      <c r="AA103" s="394"/>
    </row>
    <row r="104" spans="1:27" s="399" customFormat="1" ht="19.149999999999999" customHeight="1" x14ac:dyDescent="0.2">
      <c r="A104" s="394"/>
      <c r="B104" s="394"/>
      <c r="C104" s="394"/>
      <c r="D104" s="394"/>
      <c r="E104" s="394"/>
      <c r="F104" s="394"/>
      <c r="G104" s="394"/>
      <c r="H104" s="394"/>
      <c r="I104" s="394"/>
      <c r="J104" s="394"/>
      <c r="K104" s="394"/>
      <c r="L104" s="394"/>
      <c r="M104" s="394"/>
      <c r="AA104" s="394"/>
    </row>
    <row r="105" spans="1:27" s="399" customFormat="1" ht="19.149999999999999" customHeight="1" x14ac:dyDescent="0.2">
      <c r="A105" s="394"/>
      <c r="B105" s="394"/>
      <c r="C105" s="394"/>
      <c r="D105" s="394"/>
      <c r="E105" s="394"/>
      <c r="F105" s="394"/>
      <c r="G105" s="394"/>
      <c r="H105" s="394"/>
      <c r="I105" s="394"/>
      <c r="J105" s="394"/>
      <c r="K105" s="394"/>
      <c r="L105" s="394"/>
      <c r="M105" s="394"/>
      <c r="AA105" s="394"/>
    </row>
    <row r="106" spans="1:27" s="399" customFormat="1" ht="19.149999999999999" customHeight="1" x14ac:dyDescent="0.2">
      <c r="A106" s="394"/>
      <c r="B106" s="394"/>
      <c r="C106" s="394"/>
      <c r="D106" s="394"/>
      <c r="E106" s="394"/>
      <c r="F106" s="394"/>
      <c r="G106" s="394"/>
      <c r="H106" s="394"/>
      <c r="I106" s="394"/>
      <c r="J106" s="394"/>
      <c r="K106" s="394"/>
      <c r="L106" s="394"/>
      <c r="M106" s="394"/>
      <c r="AA106" s="394"/>
    </row>
    <row r="107" spans="1:27" s="399" customFormat="1" ht="19.149999999999999" customHeight="1" x14ac:dyDescent="0.2">
      <c r="A107" s="394"/>
      <c r="B107" s="394"/>
      <c r="C107" s="394"/>
      <c r="D107" s="394"/>
      <c r="E107" s="394"/>
      <c r="F107" s="394"/>
      <c r="G107" s="394"/>
      <c r="H107" s="394"/>
      <c r="I107" s="394"/>
      <c r="J107" s="394"/>
      <c r="K107" s="394"/>
      <c r="L107" s="394"/>
      <c r="M107" s="394"/>
      <c r="AA107" s="394"/>
    </row>
    <row r="108" spans="1:27" s="399" customFormat="1" ht="19.149999999999999" customHeight="1" x14ac:dyDescent="0.2">
      <c r="A108" s="394"/>
      <c r="B108" s="394"/>
      <c r="C108" s="394"/>
      <c r="D108" s="394"/>
      <c r="E108" s="394"/>
      <c r="F108" s="394"/>
      <c r="G108" s="394"/>
      <c r="H108" s="394"/>
      <c r="I108" s="394"/>
      <c r="J108" s="394"/>
      <c r="K108" s="394"/>
      <c r="L108" s="394"/>
      <c r="M108" s="394"/>
      <c r="AA108" s="394"/>
    </row>
    <row r="109" spans="1:27" s="399" customFormat="1" ht="19.149999999999999" customHeight="1" x14ac:dyDescent="0.2">
      <c r="A109" s="394"/>
      <c r="B109" s="394"/>
      <c r="C109" s="394"/>
      <c r="D109" s="394"/>
      <c r="E109" s="394"/>
      <c r="F109" s="394"/>
      <c r="G109" s="394"/>
      <c r="H109" s="394"/>
      <c r="I109" s="394"/>
      <c r="J109" s="394"/>
      <c r="K109" s="394"/>
      <c r="L109" s="394"/>
      <c r="M109" s="394"/>
      <c r="AA109" s="394"/>
    </row>
    <row r="110" spans="1:27" s="399" customFormat="1" ht="19.149999999999999" customHeight="1" x14ac:dyDescent="0.2">
      <c r="A110" s="394"/>
      <c r="B110" s="394"/>
      <c r="C110" s="394"/>
      <c r="D110" s="394"/>
      <c r="E110" s="394"/>
      <c r="F110" s="394"/>
      <c r="G110" s="394"/>
      <c r="H110" s="394"/>
      <c r="I110" s="394"/>
      <c r="J110" s="394"/>
      <c r="K110" s="394"/>
      <c r="L110" s="394"/>
      <c r="M110" s="394"/>
      <c r="AA110" s="394"/>
    </row>
    <row r="111" spans="1:27" s="399" customFormat="1" ht="19.149999999999999" customHeight="1" x14ac:dyDescent="0.2">
      <c r="A111" s="394"/>
      <c r="B111" s="394"/>
      <c r="C111" s="394"/>
      <c r="D111" s="394"/>
      <c r="E111" s="394"/>
      <c r="F111" s="394"/>
      <c r="G111" s="394"/>
      <c r="H111" s="394"/>
      <c r="I111" s="394"/>
      <c r="J111" s="394"/>
      <c r="K111" s="394"/>
      <c r="L111" s="394"/>
      <c r="M111" s="394"/>
      <c r="AA111" s="394"/>
    </row>
    <row r="112" spans="1:27" s="399" customFormat="1" ht="19.149999999999999" customHeight="1" x14ac:dyDescent="0.2">
      <c r="A112" s="394"/>
      <c r="B112" s="394"/>
      <c r="C112" s="394"/>
      <c r="D112" s="394"/>
      <c r="E112" s="394"/>
      <c r="F112" s="394"/>
      <c r="G112" s="394"/>
      <c r="H112" s="394"/>
      <c r="I112" s="394"/>
      <c r="J112" s="394"/>
      <c r="K112" s="394"/>
      <c r="L112" s="394"/>
      <c r="M112" s="394"/>
      <c r="AA112" s="394"/>
    </row>
    <row r="113" spans="1:27" s="399" customFormat="1" ht="19.149999999999999" customHeight="1" x14ac:dyDescent="0.2">
      <c r="A113" s="394"/>
      <c r="B113" s="394"/>
      <c r="C113" s="394"/>
      <c r="D113" s="394"/>
      <c r="E113" s="394"/>
      <c r="F113" s="394"/>
      <c r="G113" s="394"/>
      <c r="H113" s="394"/>
      <c r="I113" s="394"/>
      <c r="J113" s="394"/>
      <c r="K113" s="394"/>
      <c r="L113" s="394"/>
      <c r="M113" s="394"/>
      <c r="AA113" s="394"/>
    </row>
    <row r="114" spans="1:27" s="399" customFormat="1" ht="19.149999999999999" customHeight="1" x14ac:dyDescent="0.2">
      <c r="A114" s="394"/>
      <c r="B114" s="394"/>
      <c r="C114" s="394"/>
      <c r="D114" s="394"/>
      <c r="E114" s="394"/>
      <c r="F114" s="394"/>
      <c r="G114" s="394"/>
      <c r="H114" s="394"/>
      <c r="I114" s="394"/>
      <c r="J114" s="394"/>
      <c r="K114" s="394"/>
      <c r="L114" s="394"/>
      <c r="M114" s="394"/>
      <c r="AA114" s="394"/>
    </row>
    <row r="115" spans="1:27" ht="19.149999999999999" customHeight="1" x14ac:dyDescent="0.35"/>
    <row r="116" spans="1:27" ht="19.149999999999999" customHeight="1" x14ac:dyDescent="0.35"/>
    <row r="117" spans="1:27" ht="19.149999999999999" customHeight="1" x14ac:dyDescent="0.35"/>
    <row r="118" spans="1:27" ht="19.149999999999999" customHeight="1" x14ac:dyDescent="0.35"/>
    <row r="119" spans="1:27" ht="19.149999999999999" customHeight="1" x14ac:dyDescent="0.35"/>
    <row r="120" spans="1:27" ht="19.149999999999999" customHeight="1" x14ac:dyDescent="0.35"/>
  </sheetData>
  <pageMargins left="0.25" right="0.25" top="0.75" bottom="0.75" header="0.3" footer="0.3"/>
  <pageSetup scale="2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56D87-9FBE-46FE-A056-FC90826C56FB}">
  <sheetPr>
    <tabColor theme="6" tint="-0.249977111117893"/>
  </sheetPr>
  <dimension ref="A1:J44"/>
  <sheetViews>
    <sheetView topLeftCell="A26" zoomScaleNormal="100" workbookViewId="0">
      <selection activeCell="F14" sqref="F14"/>
    </sheetView>
  </sheetViews>
  <sheetFormatPr defaultColWidth="9.28515625" defaultRowHeight="12.75" x14ac:dyDescent="0.2"/>
  <cols>
    <col min="1" max="1" width="8.42578125" customWidth="1"/>
    <col min="2" max="2" width="11.7109375" customWidth="1"/>
    <col min="3" max="3" width="11.5703125" customWidth="1"/>
    <col min="5" max="5" width="13.7109375" customWidth="1"/>
    <col min="6" max="6" width="10.28515625" bestFit="1" customWidth="1"/>
    <col min="7" max="7" width="10.28515625" customWidth="1"/>
    <col min="8" max="8" width="12.7109375" customWidth="1"/>
    <col min="9" max="9" width="11.28515625" bestFit="1" customWidth="1"/>
  </cols>
  <sheetData>
    <row r="1" spans="1:10" ht="18" x14ac:dyDescent="0.25">
      <c r="A1" s="10" t="s">
        <v>272</v>
      </c>
      <c r="F1" s="311">
        <f>'Financial Assumptions'!H14</f>
        <v>4.8169999999999998E-2</v>
      </c>
      <c r="G1" s="311"/>
      <c r="H1" s="311" t="s">
        <v>273</v>
      </c>
    </row>
    <row r="2" spans="1:10" x14ac:dyDescent="0.2">
      <c r="A2" s="45" t="s">
        <v>274</v>
      </c>
      <c r="F2" s="311">
        <f>'Financial Assumptions'!H17</f>
        <v>2.844E-2</v>
      </c>
      <c r="G2" s="311"/>
      <c r="H2" s="31" t="s">
        <v>275</v>
      </c>
    </row>
    <row r="3" spans="1:10" x14ac:dyDescent="0.2">
      <c r="A3" s="45"/>
      <c r="H3" s="311"/>
    </row>
    <row r="4" spans="1:10" x14ac:dyDescent="0.2">
      <c r="A4" s="45" t="s">
        <v>276</v>
      </c>
      <c r="E4" s="45" t="s">
        <v>277</v>
      </c>
      <c r="H4" s="311"/>
    </row>
    <row r="5" spans="1:10" ht="63.75" x14ac:dyDescent="0.2">
      <c r="A5" s="431" t="s">
        <v>168</v>
      </c>
      <c r="B5" s="431" t="s">
        <v>278</v>
      </c>
      <c r="C5" s="432"/>
      <c r="D5" s="433"/>
      <c r="E5" s="431" t="s">
        <v>168</v>
      </c>
      <c r="F5" s="431" t="s">
        <v>278</v>
      </c>
      <c r="G5" s="433" t="s">
        <v>930</v>
      </c>
      <c r="H5" s="433" t="s">
        <v>929</v>
      </c>
      <c r="I5" s="312"/>
    </row>
    <row r="6" spans="1:10" x14ac:dyDescent="0.2">
      <c r="A6" s="313">
        <v>2008</v>
      </c>
      <c r="B6" s="314">
        <v>1</v>
      </c>
      <c r="C6" s="313"/>
      <c r="D6" s="313"/>
      <c r="E6" s="313">
        <v>2008</v>
      </c>
      <c r="F6" s="314">
        <v>1</v>
      </c>
      <c r="G6" s="314"/>
      <c r="I6" s="312"/>
    </row>
    <row r="7" spans="1:10" x14ac:dyDescent="0.2">
      <c r="A7" s="313">
        <v>2009</v>
      </c>
      <c r="B7" s="314">
        <v>1</v>
      </c>
      <c r="C7" s="315"/>
      <c r="D7" s="313"/>
      <c r="E7" s="313">
        <v>2009</v>
      </c>
      <c r="F7" s="314">
        <v>1</v>
      </c>
      <c r="G7" s="314"/>
      <c r="I7" s="312"/>
      <c r="J7" s="85"/>
    </row>
    <row r="8" spans="1:10" x14ac:dyDescent="0.2">
      <c r="A8" s="313">
        <v>2010</v>
      </c>
      <c r="B8" s="314">
        <v>1</v>
      </c>
      <c r="C8" s="315"/>
      <c r="D8" s="313"/>
      <c r="E8" s="313">
        <v>2010</v>
      </c>
      <c r="F8" s="314">
        <v>1</v>
      </c>
      <c r="G8" s="314"/>
      <c r="I8" s="312"/>
    </row>
    <row r="9" spans="1:10" x14ac:dyDescent="0.2">
      <c r="A9" s="313">
        <v>2011</v>
      </c>
      <c r="B9" s="314">
        <v>1</v>
      </c>
      <c r="C9" s="315"/>
      <c r="D9" s="313"/>
      <c r="E9" s="313">
        <v>2011</v>
      </c>
      <c r="F9" s="314">
        <v>1</v>
      </c>
      <c r="G9" s="314"/>
      <c r="I9" s="312"/>
    </row>
    <row r="10" spans="1:10" x14ac:dyDescent="0.2">
      <c r="A10" s="313">
        <v>2012</v>
      </c>
      <c r="B10" s="314">
        <v>1</v>
      </c>
      <c r="C10" s="315"/>
      <c r="D10" s="313"/>
      <c r="E10" s="313">
        <v>2012</v>
      </c>
      <c r="F10" s="314">
        <v>1</v>
      </c>
      <c r="G10" s="314"/>
      <c r="I10" s="312"/>
    </row>
    <row r="11" spans="1:10" x14ac:dyDescent="0.2">
      <c r="A11" s="313">
        <v>2013</v>
      </c>
      <c r="B11" s="314">
        <v>1</v>
      </c>
      <c r="C11" s="315"/>
      <c r="D11" s="313"/>
      <c r="E11" s="313">
        <v>2013</v>
      </c>
      <c r="F11" s="314">
        <v>1</v>
      </c>
      <c r="G11" s="314"/>
      <c r="I11" s="312"/>
    </row>
    <row r="12" spans="1:10" x14ac:dyDescent="0.2">
      <c r="A12" s="313">
        <v>2014</v>
      </c>
      <c r="B12" s="314">
        <v>1</v>
      </c>
      <c r="C12" s="315"/>
      <c r="D12" s="313"/>
      <c r="E12" s="313">
        <v>2014</v>
      </c>
      <c r="F12" s="314">
        <v>1</v>
      </c>
      <c r="G12" s="314"/>
    </row>
    <row r="13" spans="1:10" x14ac:dyDescent="0.2">
      <c r="A13" s="313">
        <v>2015</v>
      </c>
      <c r="B13" s="314">
        <v>1</v>
      </c>
      <c r="C13" s="315"/>
      <c r="D13" s="313"/>
      <c r="E13" s="313">
        <v>2015</v>
      </c>
      <c r="F13" s="314">
        <v>1</v>
      </c>
      <c r="G13" s="314"/>
    </row>
    <row r="14" spans="1:10" x14ac:dyDescent="0.2">
      <c r="A14" s="313">
        <v>2016</v>
      </c>
      <c r="B14" s="314">
        <v>1</v>
      </c>
      <c r="C14" s="315"/>
      <c r="D14" s="313"/>
      <c r="E14" s="313">
        <v>2016</v>
      </c>
      <c r="F14" s="314">
        <v>1</v>
      </c>
      <c r="G14" s="314"/>
    </row>
    <row r="15" spans="1:10" x14ac:dyDescent="0.2">
      <c r="A15" s="313">
        <v>2017</v>
      </c>
      <c r="B15" s="314">
        <v>1</v>
      </c>
      <c r="C15" s="315"/>
      <c r="D15" s="313"/>
      <c r="E15" s="313">
        <v>2017</v>
      </c>
      <c r="F15" s="314">
        <v>1</v>
      </c>
      <c r="G15" s="314"/>
    </row>
    <row r="16" spans="1:10" x14ac:dyDescent="0.2">
      <c r="A16" s="313">
        <v>2018</v>
      </c>
      <c r="B16" s="314">
        <v>1</v>
      </c>
      <c r="C16" s="315"/>
      <c r="D16" s="313"/>
      <c r="E16" s="313">
        <v>2018</v>
      </c>
      <c r="F16" s="314">
        <v>1</v>
      </c>
      <c r="G16" s="314"/>
    </row>
    <row r="17" spans="1:8" x14ac:dyDescent="0.2">
      <c r="A17" s="313">
        <v>2019</v>
      </c>
      <c r="B17" s="314">
        <v>1</v>
      </c>
      <c r="C17" s="315"/>
      <c r="D17" s="314"/>
      <c r="E17" s="313">
        <v>2019</v>
      </c>
      <c r="F17" s="314">
        <v>1</v>
      </c>
      <c r="G17" s="314"/>
    </row>
    <row r="18" spans="1:8" x14ac:dyDescent="0.2">
      <c r="A18" s="313">
        <v>2020</v>
      </c>
      <c r="B18" s="314">
        <v>1.0224</v>
      </c>
      <c r="C18" s="313" t="s">
        <v>279</v>
      </c>
      <c r="D18" s="314">
        <f>AVERAGE(B15:B19)</f>
        <v>1.0135400000000001</v>
      </c>
      <c r="E18" s="313">
        <v>2020</v>
      </c>
      <c r="F18" s="314">
        <v>1</v>
      </c>
      <c r="G18" s="314"/>
      <c r="H18" s="316"/>
    </row>
    <row r="19" spans="1:8" x14ac:dyDescent="0.2">
      <c r="A19" s="313">
        <v>2021</v>
      </c>
      <c r="B19" s="314">
        <v>1.0452999999999999</v>
      </c>
      <c r="C19" s="313"/>
      <c r="D19" s="313"/>
      <c r="E19" s="313">
        <v>2021</v>
      </c>
      <c r="F19" s="314">
        <v>1</v>
      </c>
      <c r="G19" s="314">
        <v>1</v>
      </c>
    </row>
    <row r="20" spans="1:8" x14ac:dyDescent="0.2">
      <c r="A20" s="313">
        <v>2022</v>
      </c>
      <c r="B20" s="314">
        <v>1.06871472</v>
      </c>
      <c r="C20" s="313" t="s">
        <v>280</v>
      </c>
      <c r="D20" s="314">
        <f>AVERAGE(B19:B23)</f>
        <v>1.1258312770916121</v>
      </c>
      <c r="E20" s="313">
        <v>2022</v>
      </c>
      <c r="F20" s="314">
        <v>1</v>
      </c>
      <c r="G20" s="314">
        <v>1</v>
      </c>
      <c r="H20" s="316">
        <f>G24/G23</f>
        <v>1.04817</v>
      </c>
    </row>
    <row r="21" spans="1:8" x14ac:dyDescent="0.2">
      <c r="A21" s="313">
        <v>2023</v>
      </c>
      <c r="B21" s="314">
        <v>1.1170419996384</v>
      </c>
      <c r="C21" s="313"/>
      <c r="D21" s="313"/>
      <c r="E21" s="313">
        <v>2023</v>
      </c>
      <c r="F21" s="314">
        <v>1</v>
      </c>
      <c r="G21" s="314">
        <v>1</v>
      </c>
    </row>
    <row r="22" spans="1:8" x14ac:dyDescent="0.2">
      <c r="A22" s="313">
        <v>2024</v>
      </c>
      <c r="B22" s="314">
        <v>1.1708499127609817</v>
      </c>
      <c r="C22" s="313" t="s">
        <v>281</v>
      </c>
      <c r="D22" s="314">
        <f>AVERAGE(B24:B28)</f>
        <v>1.4164097115883187</v>
      </c>
      <c r="E22" s="313">
        <v>2024</v>
      </c>
      <c r="F22" s="314">
        <v>1</v>
      </c>
      <c r="G22" s="314">
        <v>1</v>
      </c>
      <c r="H22" s="316">
        <f>AVERAGE(G24:G28)</f>
        <v>1.1541332219119997</v>
      </c>
    </row>
    <row r="23" spans="1:8" x14ac:dyDescent="0.2">
      <c r="A23" s="313">
        <v>2025</v>
      </c>
      <c r="B23" s="314">
        <f>$B$22*(1+$F$1)^(A23-2024)</f>
        <v>1.2272497530586783</v>
      </c>
      <c r="C23" s="313"/>
      <c r="D23" s="313"/>
      <c r="E23" s="313">
        <v>2025</v>
      </c>
      <c r="F23" s="314">
        <v>1</v>
      </c>
      <c r="G23" s="314">
        <v>1</v>
      </c>
    </row>
    <row r="24" spans="1:8" x14ac:dyDescent="0.2">
      <c r="A24">
        <v>2026</v>
      </c>
      <c r="B24" s="316">
        <f t="shared" ref="B24:B44" si="0">$B$22*(1+$F$1)^(A24-2024)</f>
        <v>1.2863663736635149</v>
      </c>
      <c r="C24" t="s">
        <v>282</v>
      </c>
      <c r="D24" s="316">
        <f>AVERAGE(B29:B33)</f>
        <v>1.7920392732379322</v>
      </c>
      <c r="E24">
        <v>2026</v>
      </c>
      <c r="F24" s="316">
        <f>$G$23*(1+$F$2)^(A24-2025)</f>
        <v>1.02844</v>
      </c>
      <c r="G24" s="316">
        <f>$G$23*(1+$F$1)^(A24-2025)</f>
        <v>1.04817</v>
      </c>
      <c r="H24" s="316">
        <f>AVERAGE(G29:G33)</f>
        <v>1.4602074832540217</v>
      </c>
    </row>
    <row r="25" spans="1:8" x14ac:dyDescent="0.2">
      <c r="A25">
        <v>2027</v>
      </c>
      <c r="B25" s="316">
        <f t="shared" si="0"/>
        <v>1.3483306418828866</v>
      </c>
      <c r="E25">
        <v>2027</v>
      </c>
      <c r="F25" s="316">
        <f t="shared" ref="F25:F28" si="1">$G$23*(1+$F$2)^(A25-2025)</f>
        <v>1.0576888336000001</v>
      </c>
      <c r="G25" s="316">
        <f t="shared" ref="G25:G44" si="2">$G$23*(1+$F$1)^(A25-2025)</f>
        <v>1.0986603489000002</v>
      </c>
    </row>
    <row r="26" spans="1:8" x14ac:dyDescent="0.2">
      <c r="A26">
        <v>2028</v>
      </c>
      <c r="B26" s="316">
        <f t="shared" si="0"/>
        <v>1.4132797289023853</v>
      </c>
      <c r="C26" t="s">
        <v>283</v>
      </c>
      <c r="D26" s="316">
        <f>AVERAGE(B34:B38)</f>
        <v>2.2672851863081092</v>
      </c>
      <c r="E26">
        <v>2028</v>
      </c>
      <c r="F26" s="316">
        <f t="shared" si="1"/>
        <v>1.0877695040275841</v>
      </c>
      <c r="G26" s="316">
        <f t="shared" si="2"/>
        <v>1.1515828179065133</v>
      </c>
      <c r="H26" s="316">
        <f>AVERAGE(G34:G38)</f>
        <v>1.847452143019257</v>
      </c>
    </row>
    <row r="27" spans="1:8" x14ac:dyDescent="0.2">
      <c r="A27">
        <v>2029</v>
      </c>
      <c r="B27" s="316">
        <f t="shared" si="0"/>
        <v>1.4813574134436134</v>
      </c>
      <c r="C27" s="98"/>
      <c r="E27">
        <v>2029</v>
      </c>
      <c r="F27" s="316">
        <f t="shared" si="1"/>
        <v>1.1187056687221286</v>
      </c>
      <c r="G27" s="316">
        <f t="shared" si="2"/>
        <v>1.2070545622450701</v>
      </c>
    </row>
    <row r="28" spans="1:8" x14ac:dyDescent="0.2">
      <c r="A28">
        <v>2030</v>
      </c>
      <c r="B28" s="316">
        <f t="shared" si="0"/>
        <v>1.5527144000491924</v>
      </c>
      <c r="C28" s="45" t="s">
        <v>284</v>
      </c>
      <c r="D28" s="316">
        <f>AVERAGE(B39:B43)</f>
        <v>2.8685655458677402</v>
      </c>
      <c r="E28">
        <v>2030</v>
      </c>
      <c r="F28" s="316">
        <f t="shared" si="1"/>
        <v>1.1505216579405859</v>
      </c>
      <c r="G28" s="316">
        <f t="shared" si="2"/>
        <v>1.2651983805084153</v>
      </c>
      <c r="H28" s="316">
        <f>AVERAGE(G39:G43)</f>
        <v>2.3373934594147654</v>
      </c>
    </row>
    <row r="29" spans="1:8" x14ac:dyDescent="0.2">
      <c r="A29">
        <v>2031</v>
      </c>
      <c r="B29" s="316">
        <f t="shared" si="0"/>
        <v>1.6275086526995621</v>
      </c>
      <c r="C29" s="98"/>
      <c r="E29">
        <v>2031</v>
      </c>
      <c r="F29" s="316">
        <f t="shared" ref="F29:F44" si="3">$F$23*(1+$F$2)^(A29-2025)</f>
        <v>1.1832424938924164</v>
      </c>
      <c r="G29" s="316">
        <f t="shared" si="2"/>
        <v>1.3261429864975058</v>
      </c>
    </row>
    <row r="30" spans="1:8" x14ac:dyDescent="0.2">
      <c r="A30">
        <v>2032</v>
      </c>
      <c r="B30" s="316">
        <f t="shared" si="0"/>
        <v>1.7059057445001002</v>
      </c>
      <c r="E30">
        <v>2032</v>
      </c>
      <c r="F30" s="316">
        <f t="shared" si="3"/>
        <v>1.2168939104187166</v>
      </c>
      <c r="G30" s="316">
        <f t="shared" si="2"/>
        <v>1.3900232941570907</v>
      </c>
    </row>
    <row r="31" spans="1:8" x14ac:dyDescent="0.2">
      <c r="A31">
        <v>2033</v>
      </c>
      <c r="B31" s="316">
        <f t="shared" si="0"/>
        <v>1.7880792242126702</v>
      </c>
      <c r="E31">
        <v>2033</v>
      </c>
      <c r="F31" s="316">
        <f t="shared" si="3"/>
        <v>1.2515023732310251</v>
      </c>
      <c r="G31" s="316">
        <f t="shared" si="2"/>
        <v>1.4569807162366379</v>
      </c>
    </row>
    <row r="32" spans="1:8" x14ac:dyDescent="0.2">
      <c r="A32">
        <v>2034</v>
      </c>
      <c r="B32" s="316">
        <f t="shared" si="0"/>
        <v>1.8742110004429946</v>
      </c>
      <c r="E32">
        <v>2034</v>
      </c>
      <c r="F32" s="316">
        <f t="shared" si="3"/>
        <v>1.2870951007257154</v>
      </c>
      <c r="G32" s="316">
        <f t="shared" si="2"/>
        <v>1.5271634773377569</v>
      </c>
    </row>
    <row r="33" spans="1:7" x14ac:dyDescent="0.2">
      <c r="A33">
        <v>2035</v>
      </c>
      <c r="B33" s="316">
        <f t="shared" si="0"/>
        <v>1.9644917443343337</v>
      </c>
      <c r="E33">
        <v>2035</v>
      </c>
      <c r="F33" s="316">
        <f t="shared" si="3"/>
        <v>1.3237000853903549</v>
      </c>
      <c r="G33" s="316">
        <f t="shared" si="2"/>
        <v>1.6007269420411168</v>
      </c>
    </row>
    <row r="34" spans="1:7" x14ac:dyDescent="0.2">
      <c r="A34">
        <v>2036</v>
      </c>
      <c r="B34" s="316">
        <f t="shared" si="0"/>
        <v>2.0591213116589189</v>
      </c>
      <c r="E34">
        <v>2036</v>
      </c>
      <c r="F34" s="316">
        <f t="shared" si="3"/>
        <v>1.3613461158188567</v>
      </c>
      <c r="G34" s="316">
        <f t="shared" si="2"/>
        <v>1.6778339588392375</v>
      </c>
    </row>
    <row r="35" spans="1:7" x14ac:dyDescent="0.2">
      <c r="A35">
        <v>2037</v>
      </c>
      <c r="B35" s="316">
        <f t="shared" si="0"/>
        <v>2.1583091852415293</v>
      </c>
      <c r="E35">
        <v>2037</v>
      </c>
      <c r="F35" s="316">
        <f t="shared" si="3"/>
        <v>1.400062799352745</v>
      </c>
      <c r="G35" s="316">
        <f t="shared" si="2"/>
        <v>1.7586552206365238</v>
      </c>
    </row>
    <row r="36" spans="1:7" x14ac:dyDescent="0.2">
      <c r="A36">
        <v>2038</v>
      </c>
      <c r="B36" s="316">
        <f t="shared" si="0"/>
        <v>2.2622749386946142</v>
      </c>
      <c r="E36">
        <v>2038</v>
      </c>
      <c r="F36" s="316">
        <f t="shared" si="3"/>
        <v>1.439880585366337</v>
      </c>
      <c r="G36" s="316">
        <f t="shared" si="2"/>
        <v>1.8433696426145854</v>
      </c>
    </row>
    <row r="37" spans="1:7" x14ac:dyDescent="0.2">
      <c r="A37">
        <v>2039</v>
      </c>
      <c r="B37" s="316">
        <f t="shared" si="0"/>
        <v>2.3712487224915333</v>
      </c>
      <c r="E37">
        <v>2039</v>
      </c>
      <c r="F37" s="316">
        <f t="shared" si="3"/>
        <v>1.4808307892141559</v>
      </c>
      <c r="G37" s="316">
        <f t="shared" si="2"/>
        <v>1.9321647582993302</v>
      </c>
    </row>
    <row r="38" spans="1:7" x14ac:dyDescent="0.2">
      <c r="A38">
        <v>2040</v>
      </c>
      <c r="B38" s="316">
        <f t="shared" si="0"/>
        <v>2.4854717734539511</v>
      </c>
      <c r="E38">
        <v>2040</v>
      </c>
      <c r="F38" s="316">
        <f t="shared" si="3"/>
        <v>1.5229456168594062</v>
      </c>
      <c r="G38" s="316">
        <f t="shared" si="2"/>
        <v>2.0252371347066087</v>
      </c>
    </row>
    <row r="39" spans="1:7" x14ac:dyDescent="0.2">
      <c r="A39">
        <v>2041</v>
      </c>
      <c r="B39" s="316">
        <f t="shared" si="0"/>
        <v>2.6051969487812277</v>
      </c>
      <c r="E39">
        <v>2041</v>
      </c>
      <c r="F39" s="316">
        <f t="shared" si="3"/>
        <v>1.566258190202888</v>
      </c>
      <c r="G39" s="316">
        <f t="shared" si="2"/>
        <v>2.1227928074854265</v>
      </c>
    </row>
    <row r="40" spans="1:7" x14ac:dyDescent="0.2">
      <c r="A40">
        <v>2042</v>
      </c>
      <c r="B40" s="316">
        <f t="shared" si="0"/>
        <v>2.7306892858040204</v>
      </c>
      <c r="E40">
        <v>2042</v>
      </c>
      <c r="F40" s="316">
        <f t="shared" si="3"/>
        <v>1.6108025731322582</v>
      </c>
      <c r="G40" s="316">
        <f t="shared" si="2"/>
        <v>2.2250477370219994</v>
      </c>
    </row>
    <row r="41" spans="1:7" x14ac:dyDescent="0.2">
      <c r="A41">
        <v>2043</v>
      </c>
      <c r="B41" s="316">
        <f t="shared" si="0"/>
        <v>2.8622265887012004</v>
      </c>
      <c r="E41">
        <v>2043</v>
      </c>
      <c r="F41" s="316">
        <f t="shared" si="3"/>
        <v>1.6566137983121398</v>
      </c>
      <c r="G41" s="316">
        <f t="shared" si="2"/>
        <v>2.3322282865143498</v>
      </c>
    </row>
    <row r="42" spans="1:7" x14ac:dyDescent="0.2">
      <c r="A42">
        <v>2044</v>
      </c>
      <c r="B42" s="316">
        <f t="shared" si="0"/>
        <v>3.0001000434789371</v>
      </c>
      <c r="E42">
        <v>2044</v>
      </c>
      <c r="F42" s="316">
        <f t="shared" si="3"/>
        <v>1.7037278947361369</v>
      </c>
      <c r="G42" s="316">
        <f t="shared" si="2"/>
        <v>2.4445717230757462</v>
      </c>
    </row>
    <row r="43" spans="1:7" x14ac:dyDescent="0.2">
      <c r="A43">
        <v>2045</v>
      </c>
      <c r="B43" s="316">
        <f t="shared" si="0"/>
        <v>3.1446148625733175</v>
      </c>
      <c r="E43">
        <v>2045</v>
      </c>
      <c r="F43" s="316">
        <f t="shared" si="3"/>
        <v>1.7521819160624328</v>
      </c>
      <c r="G43" s="316">
        <f t="shared" si="2"/>
        <v>2.562326742976305</v>
      </c>
    </row>
    <row r="44" spans="1:7" x14ac:dyDescent="0.2">
      <c r="A44">
        <v>2046</v>
      </c>
      <c r="B44" s="316">
        <f t="shared" si="0"/>
        <v>3.2960909605034749</v>
      </c>
      <c r="E44">
        <v>2046</v>
      </c>
      <c r="F44" s="316">
        <f t="shared" si="3"/>
        <v>1.8020139697552484</v>
      </c>
      <c r="G44" s="316">
        <f t="shared" si="2"/>
        <v>2.6857540221854737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CF2CA-953A-4458-A067-037C61E640B7}">
  <sheetPr>
    <tabColor rgb="FFFFC000"/>
  </sheetPr>
  <dimension ref="B1:I139"/>
  <sheetViews>
    <sheetView topLeftCell="A2" workbookViewId="0">
      <selection activeCell="D13" sqref="D13"/>
    </sheetView>
  </sheetViews>
  <sheetFormatPr defaultColWidth="8.85546875" defaultRowHeight="15" x14ac:dyDescent="0.25"/>
  <cols>
    <col min="1" max="1" width="8.85546875" style="317"/>
    <col min="2" max="2" width="14.42578125" style="317" customWidth="1"/>
    <col min="3" max="3" width="20.85546875" style="317" customWidth="1"/>
    <col min="4" max="16384" width="8.85546875" style="317"/>
  </cols>
  <sheetData>
    <row r="1" spans="2:9" x14ac:dyDescent="0.25">
      <c r="I1" s="325"/>
    </row>
    <row r="2" spans="2:9" x14ac:dyDescent="0.25">
      <c r="I2" s="325"/>
    </row>
    <row r="3" spans="2:9" x14ac:dyDescent="0.25">
      <c r="B3" s="436" t="s">
        <v>155</v>
      </c>
    </row>
    <row r="6" spans="2:9" x14ac:dyDescent="0.25">
      <c r="B6" s="317" t="s">
        <v>156</v>
      </c>
    </row>
    <row r="7" spans="2:9" x14ac:dyDescent="0.25">
      <c r="B7" s="317" t="s">
        <v>157</v>
      </c>
    </row>
    <row r="9" spans="2:9" x14ac:dyDescent="0.25">
      <c r="B9" s="317" t="s">
        <v>1</v>
      </c>
      <c r="C9" s="317" t="s">
        <v>2</v>
      </c>
      <c r="D9" s="317" t="s">
        <v>158</v>
      </c>
    </row>
    <row r="10" spans="2:9" x14ac:dyDescent="0.25">
      <c r="B10" s="317" t="s">
        <v>3</v>
      </c>
      <c r="C10" s="319">
        <v>44013</v>
      </c>
      <c r="D10" s="317">
        <v>0.48</v>
      </c>
    </row>
    <row r="11" spans="2:9" x14ac:dyDescent="0.25">
      <c r="B11" s="317" t="s">
        <v>5</v>
      </c>
      <c r="C11" s="319">
        <v>45200</v>
      </c>
      <c r="D11" s="317">
        <v>4.1100000000000003</v>
      </c>
      <c r="F11" s="318" t="s">
        <v>159</v>
      </c>
    </row>
    <row r="12" spans="2:9" x14ac:dyDescent="0.25">
      <c r="B12" s="317" t="s">
        <v>160</v>
      </c>
      <c r="D12" s="326">
        <f>C137</f>
        <v>1.5985416666666665E-2</v>
      </c>
    </row>
    <row r="13" spans="2:9" x14ac:dyDescent="0.25">
      <c r="B13" s="317" t="s">
        <v>161</v>
      </c>
      <c r="D13" s="326">
        <f>C139</f>
        <v>2.3485416666666665E-2</v>
      </c>
    </row>
    <row r="15" spans="2:9" x14ac:dyDescent="0.25">
      <c r="B15" s="317" t="s">
        <v>2</v>
      </c>
      <c r="C15" s="317" t="s">
        <v>158</v>
      </c>
    </row>
    <row r="16" spans="2:9" x14ac:dyDescent="0.25">
      <c r="B16" s="317" t="s">
        <v>162</v>
      </c>
      <c r="C16" s="317">
        <v>3.79</v>
      </c>
    </row>
    <row r="17" spans="2:3" x14ac:dyDescent="0.25">
      <c r="B17" s="317" t="s">
        <v>163</v>
      </c>
      <c r="C17" s="317">
        <v>3.44</v>
      </c>
    </row>
    <row r="18" spans="2:3" x14ac:dyDescent="0.25">
      <c r="B18" s="317" t="s">
        <v>164</v>
      </c>
      <c r="C18" s="317">
        <v>3.52</v>
      </c>
    </row>
    <row r="19" spans="2:3" x14ac:dyDescent="0.25">
      <c r="B19" s="317" t="s">
        <v>165</v>
      </c>
      <c r="C19" s="317">
        <v>3.35</v>
      </c>
    </row>
    <row r="20" spans="2:3" x14ac:dyDescent="0.25">
      <c r="B20" s="317" t="s">
        <v>151</v>
      </c>
      <c r="C20" s="317">
        <v>3.06</v>
      </c>
    </row>
    <row r="21" spans="2:3" x14ac:dyDescent="0.25">
      <c r="B21" s="317" t="s">
        <v>147</v>
      </c>
      <c r="C21" s="317">
        <v>3.51</v>
      </c>
    </row>
    <row r="22" spans="2:3" x14ac:dyDescent="0.25">
      <c r="B22" s="317" t="s">
        <v>143</v>
      </c>
      <c r="C22" s="317">
        <v>4.1100000000000003</v>
      </c>
    </row>
    <row r="23" spans="2:3" x14ac:dyDescent="0.25">
      <c r="B23" s="317" t="s">
        <v>139</v>
      </c>
      <c r="C23" s="317">
        <v>4.09</v>
      </c>
    </row>
    <row r="24" spans="2:3" x14ac:dyDescent="0.25">
      <c r="B24" s="317" t="s">
        <v>135</v>
      </c>
      <c r="C24" s="317">
        <v>3.57</v>
      </c>
    </row>
    <row r="25" spans="2:3" x14ac:dyDescent="0.25">
      <c r="B25" s="317" t="s">
        <v>131</v>
      </c>
      <c r="C25" s="317">
        <v>3.45</v>
      </c>
    </row>
    <row r="26" spans="2:3" x14ac:dyDescent="0.25">
      <c r="B26" s="317" t="s">
        <v>127</v>
      </c>
      <c r="C26" s="317">
        <v>3.22</v>
      </c>
    </row>
    <row r="27" spans="2:3" x14ac:dyDescent="0.25">
      <c r="B27" s="317" t="s">
        <v>123</v>
      </c>
      <c r="C27" s="317">
        <v>3.18</v>
      </c>
    </row>
    <row r="28" spans="2:3" x14ac:dyDescent="0.25">
      <c r="B28" s="317" t="s">
        <v>119</v>
      </c>
      <c r="C28" s="317">
        <v>2.85</v>
      </c>
    </row>
    <row r="29" spans="2:3" x14ac:dyDescent="0.25">
      <c r="B29" s="317" t="s">
        <v>115</v>
      </c>
      <c r="C29" s="317">
        <v>2.93</v>
      </c>
    </row>
    <row r="30" spans="2:3" x14ac:dyDescent="0.25">
      <c r="B30" s="317" t="s">
        <v>111</v>
      </c>
      <c r="C30" s="317">
        <v>3.37</v>
      </c>
    </row>
    <row r="31" spans="2:3" x14ac:dyDescent="0.25">
      <c r="B31" s="317" t="s">
        <v>107</v>
      </c>
      <c r="C31" s="317">
        <v>2.79</v>
      </c>
    </row>
    <row r="32" spans="2:3" x14ac:dyDescent="0.25">
      <c r="B32" s="317" t="s">
        <v>103</v>
      </c>
      <c r="C32" s="317">
        <v>3.29</v>
      </c>
    </row>
    <row r="33" spans="2:3" x14ac:dyDescent="0.25">
      <c r="B33" s="317" t="s">
        <v>99</v>
      </c>
      <c r="C33" s="317">
        <v>2.96</v>
      </c>
    </row>
    <row r="34" spans="2:3" x14ac:dyDescent="0.25">
      <c r="B34" s="317" t="s">
        <v>95</v>
      </c>
      <c r="C34" s="317">
        <v>3.28</v>
      </c>
    </row>
    <row r="35" spans="2:3" x14ac:dyDescent="0.25">
      <c r="B35" s="317" t="s">
        <v>91</v>
      </c>
      <c r="C35" s="317">
        <v>3.08</v>
      </c>
    </row>
    <row r="36" spans="2:3" x14ac:dyDescent="0.25">
      <c r="B36" s="317" t="s">
        <v>87</v>
      </c>
      <c r="C36" s="317">
        <v>3.11</v>
      </c>
    </row>
    <row r="37" spans="2:3" x14ac:dyDescent="0.25">
      <c r="B37" s="317" t="s">
        <v>83</v>
      </c>
      <c r="C37" s="317">
        <v>2.77</v>
      </c>
    </row>
    <row r="38" spans="2:3" x14ac:dyDescent="0.25">
      <c r="B38" s="317" t="s">
        <v>79</v>
      </c>
      <c r="C38" s="317">
        <v>3.29</v>
      </c>
    </row>
    <row r="39" spans="2:3" x14ac:dyDescent="0.25">
      <c r="B39" s="317" t="s">
        <v>75</v>
      </c>
      <c r="C39" s="317">
        <v>2.76</v>
      </c>
    </row>
    <row r="40" spans="2:3" x14ac:dyDescent="0.25">
      <c r="B40" s="317" t="s">
        <v>71</v>
      </c>
      <c r="C40" s="317">
        <v>2.8</v>
      </c>
    </row>
    <row r="41" spans="2:3" x14ac:dyDescent="0.25">
      <c r="B41" s="317" t="s">
        <v>67</v>
      </c>
      <c r="C41" s="317">
        <v>2.4300000000000002</v>
      </c>
    </row>
    <row r="42" spans="2:3" x14ac:dyDescent="0.25">
      <c r="B42" s="317" t="s">
        <v>63</v>
      </c>
      <c r="C42" s="317">
        <v>1.97</v>
      </c>
    </row>
    <row r="43" spans="2:3" x14ac:dyDescent="0.25">
      <c r="B43" s="317" t="s">
        <v>59</v>
      </c>
      <c r="C43" s="317">
        <v>1.84</v>
      </c>
    </row>
    <row r="44" spans="2:3" x14ac:dyDescent="0.25">
      <c r="B44" s="317" t="s">
        <v>55</v>
      </c>
      <c r="C44" s="327">
        <v>1.47</v>
      </c>
    </row>
    <row r="45" spans="2:3" x14ac:dyDescent="0.25">
      <c r="B45" s="317" t="s">
        <v>51</v>
      </c>
      <c r="C45" s="327">
        <v>1.77</v>
      </c>
    </row>
    <row r="46" spans="2:3" x14ac:dyDescent="0.25">
      <c r="B46" s="317" t="s">
        <v>47</v>
      </c>
      <c r="C46" s="327">
        <v>1.6</v>
      </c>
    </row>
    <row r="47" spans="2:3" x14ac:dyDescent="0.25">
      <c r="B47" s="317" t="s">
        <v>43</v>
      </c>
      <c r="C47" s="327">
        <v>1.51</v>
      </c>
    </row>
    <row r="48" spans="2:3" x14ac:dyDescent="0.25">
      <c r="B48" s="317" t="s">
        <v>39</v>
      </c>
      <c r="C48" s="327">
        <v>1.25</v>
      </c>
    </row>
    <row r="49" spans="2:3" x14ac:dyDescent="0.25">
      <c r="B49" s="317" t="s">
        <v>35</v>
      </c>
      <c r="C49" s="327">
        <v>1.17</v>
      </c>
    </row>
    <row r="50" spans="2:3" x14ac:dyDescent="0.25">
      <c r="B50" s="317" t="s">
        <v>31</v>
      </c>
      <c r="C50" s="327">
        <v>1.39</v>
      </c>
    </row>
    <row r="51" spans="2:3" x14ac:dyDescent="0.25">
      <c r="B51" s="317" t="s">
        <v>27</v>
      </c>
      <c r="C51" s="327">
        <v>1.45</v>
      </c>
    </row>
    <row r="52" spans="2:3" x14ac:dyDescent="0.25">
      <c r="B52" s="317" t="s">
        <v>23</v>
      </c>
      <c r="C52" s="327">
        <v>1.53</v>
      </c>
    </row>
    <row r="53" spans="2:3" x14ac:dyDescent="0.25">
      <c r="B53" s="317" t="s">
        <v>19</v>
      </c>
      <c r="C53" s="327">
        <v>1.55</v>
      </c>
    </row>
    <row r="54" spans="2:3" x14ac:dyDescent="0.25">
      <c r="B54" s="317" t="s">
        <v>15</v>
      </c>
      <c r="C54" s="327">
        <v>1.31</v>
      </c>
    </row>
    <row r="55" spans="2:3" x14ac:dyDescent="0.25">
      <c r="B55" s="317" t="s">
        <v>11</v>
      </c>
      <c r="C55" s="327">
        <v>0.8</v>
      </c>
    </row>
    <row r="56" spans="2:3" x14ac:dyDescent="0.25">
      <c r="B56" s="317" t="s">
        <v>150</v>
      </c>
      <c r="C56" s="327">
        <v>0.7</v>
      </c>
    </row>
    <row r="57" spans="2:3" x14ac:dyDescent="0.25">
      <c r="B57" s="317" t="s">
        <v>146</v>
      </c>
      <c r="C57" s="327">
        <v>0.7</v>
      </c>
    </row>
    <row r="58" spans="2:3" x14ac:dyDescent="0.25">
      <c r="B58" s="317" t="s">
        <v>142</v>
      </c>
      <c r="C58" s="327">
        <v>0.59</v>
      </c>
    </row>
    <row r="59" spans="2:3" x14ac:dyDescent="0.25">
      <c r="B59" s="317" t="s">
        <v>138</v>
      </c>
      <c r="C59" s="327">
        <v>0.56999999999999995</v>
      </c>
    </row>
    <row r="60" spans="2:3" x14ac:dyDescent="0.25">
      <c r="B60" s="317" t="s">
        <v>134</v>
      </c>
      <c r="C60" s="327">
        <v>0.61</v>
      </c>
    </row>
    <row r="61" spans="2:3" x14ac:dyDescent="0.25">
      <c r="B61" s="317" t="s">
        <v>130</v>
      </c>
      <c r="C61" s="327">
        <v>0.48</v>
      </c>
    </row>
    <row r="62" spans="2:3" x14ac:dyDescent="0.25">
      <c r="B62" s="317" t="s">
        <v>126</v>
      </c>
      <c r="C62" s="327">
        <v>0.54</v>
      </c>
    </row>
    <row r="63" spans="2:3" x14ac:dyDescent="0.25">
      <c r="B63" s="317" t="s">
        <v>122</v>
      </c>
      <c r="C63" s="327">
        <v>0.54</v>
      </c>
    </row>
    <row r="64" spans="2:3" x14ac:dyDescent="0.25">
      <c r="B64" s="317" t="s">
        <v>118</v>
      </c>
      <c r="C64" s="327">
        <v>0.56000000000000005</v>
      </c>
    </row>
    <row r="65" spans="2:3" x14ac:dyDescent="0.25">
      <c r="B65" s="317" t="s">
        <v>114</v>
      </c>
      <c r="C65" s="327">
        <v>0.88</v>
      </c>
    </row>
    <row r="66" spans="2:3" x14ac:dyDescent="0.25">
      <c r="B66" s="317" t="s">
        <v>110</v>
      </c>
      <c r="C66" s="327">
        <v>1.21</v>
      </c>
    </row>
    <row r="67" spans="2:3" x14ac:dyDescent="0.25">
      <c r="B67" s="317" t="s">
        <v>106</v>
      </c>
      <c r="C67" s="327">
        <v>1.31</v>
      </c>
    </row>
    <row r="68" spans="2:3" x14ac:dyDescent="0.25">
      <c r="B68" s="317" t="s">
        <v>102</v>
      </c>
      <c r="C68" s="327">
        <v>1.61</v>
      </c>
    </row>
    <row r="69" spans="2:3" x14ac:dyDescent="0.25">
      <c r="B69" s="317" t="s">
        <v>98</v>
      </c>
      <c r="C69" s="327">
        <v>1.47</v>
      </c>
    </row>
    <row r="70" spans="2:3" x14ac:dyDescent="0.25">
      <c r="B70" s="317" t="s">
        <v>94</v>
      </c>
      <c r="C70" s="327">
        <v>1.45</v>
      </c>
    </row>
    <row r="71" spans="2:3" x14ac:dyDescent="0.25">
      <c r="B71" s="317" t="s">
        <v>90</v>
      </c>
      <c r="C71" s="327">
        <v>1.39</v>
      </c>
    </row>
    <row r="72" spans="2:3" x14ac:dyDescent="0.25">
      <c r="B72" s="317" t="s">
        <v>86</v>
      </c>
      <c r="C72" s="327">
        <v>1.1299999999999999</v>
      </c>
    </row>
    <row r="73" spans="2:3" x14ac:dyDescent="0.25">
      <c r="B73" s="317" t="s">
        <v>82</v>
      </c>
      <c r="C73" s="327">
        <v>1.49</v>
      </c>
    </row>
    <row r="74" spans="2:3" x14ac:dyDescent="0.25">
      <c r="B74" s="317" t="s">
        <v>78</v>
      </c>
      <c r="C74" s="327">
        <v>1.5</v>
      </c>
    </row>
    <row r="75" spans="2:3" x14ac:dyDescent="0.25">
      <c r="B75" s="317" t="s">
        <v>74</v>
      </c>
      <c r="C75" s="327">
        <v>1.57</v>
      </c>
    </row>
    <row r="76" spans="2:3" x14ac:dyDescent="0.25">
      <c r="B76" s="317" t="s">
        <v>70</v>
      </c>
      <c r="C76" s="327">
        <v>1.67</v>
      </c>
    </row>
    <row r="77" spans="2:3" x14ac:dyDescent="0.25">
      <c r="B77" s="317" t="s">
        <v>66</v>
      </c>
      <c r="C77" s="327">
        <v>1.54</v>
      </c>
    </row>
    <row r="78" spans="2:3" x14ac:dyDescent="0.25">
      <c r="B78" s="317" t="s">
        <v>62</v>
      </c>
      <c r="C78" s="327">
        <v>1.91</v>
      </c>
    </row>
    <row r="79" spans="2:3" x14ac:dyDescent="0.25">
      <c r="B79" s="317" t="s">
        <v>58</v>
      </c>
      <c r="C79" s="327">
        <v>1.92</v>
      </c>
    </row>
    <row r="80" spans="2:3" x14ac:dyDescent="0.25">
      <c r="B80" s="317" t="s">
        <v>54</v>
      </c>
      <c r="C80" s="327">
        <v>1.98</v>
      </c>
    </row>
    <row r="81" spans="2:3" x14ac:dyDescent="0.25">
      <c r="B81" s="317" t="s">
        <v>50</v>
      </c>
      <c r="C81" s="327">
        <v>2.33</v>
      </c>
    </row>
    <row r="82" spans="2:3" x14ac:dyDescent="0.25">
      <c r="B82" s="317" t="s">
        <v>46</v>
      </c>
      <c r="C82" s="327">
        <v>2.4900000000000002</v>
      </c>
    </row>
    <row r="83" spans="2:3" x14ac:dyDescent="0.25">
      <c r="B83" s="317" t="s">
        <v>42</v>
      </c>
      <c r="C83" s="327">
        <v>2.42</v>
      </c>
    </row>
    <row r="84" spans="2:3" x14ac:dyDescent="0.25">
      <c r="B84" s="317" t="s">
        <v>38</v>
      </c>
      <c r="C84" s="327">
        <v>2.3199999999999998</v>
      </c>
    </row>
    <row r="85" spans="2:3" x14ac:dyDescent="0.25">
      <c r="B85" s="317" t="s">
        <v>34</v>
      </c>
      <c r="C85" s="327">
        <v>2.2799999999999998</v>
      </c>
    </row>
    <row r="86" spans="2:3" x14ac:dyDescent="0.25">
      <c r="B86" s="317" t="s">
        <v>30</v>
      </c>
      <c r="C86" s="327">
        <v>2.06</v>
      </c>
    </row>
    <row r="87" spans="2:3" x14ac:dyDescent="0.25">
      <c r="B87" s="317" t="s">
        <v>26</v>
      </c>
      <c r="C87" s="327">
        <v>2.25</v>
      </c>
    </row>
    <row r="88" spans="2:3" x14ac:dyDescent="0.25">
      <c r="B88" s="317" t="s">
        <v>22</v>
      </c>
      <c r="C88" s="327">
        <v>2.37</v>
      </c>
    </row>
    <row r="89" spans="2:3" x14ac:dyDescent="0.25">
      <c r="B89" s="317" t="s">
        <v>18</v>
      </c>
      <c r="C89" s="327">
        <v>2.11</v>
      </c>
    </row>
    <row r="90" spans="2:3" x14ac:dyDescent="0.25">
      <c r="B90" s="317" t="s">
        <v>14</v>
      </c>
      <c r="C90" s="327">
        <v>2.23</v>
      </c>
    </row>
    <row r="91" spans="2:3" x14ac:dyDescent="0.25">
      <c r="B91" s="317" t="s">
        <v>10</v>
      </c>
      <c r="C91" s="327">
        <v>2.29</v>
      </c>
    </row>
    <row r="92" spans="2:3" x14ac:dyDescent="0.25">
      <c r="B92" s="317" t="s">
        <v>149</v>
      </c>
      <c r="C92" s="327">
        <v>1.98</v>
      </c>
    </row>
    <row r="93" spans="2:3" x14ac:dyDescent="0.25">
      <c r="B93" s="317" t="s">
        <v>145</v>
      </c>
      <c r="C93" s="327">
        <v>1.88</v>
      </c>
    </row>
    <row r="94" spans="2:3" x14ac:dyDescent="0.25">
      <c r="B94" s="317" t="s">
        <v>141</v>
      </c>
      <c r="C94" s="327">
        <v>2.04</v>
      </c>
    </row>
    <row r="95" spans="2:3" x14ac:dyDescent="0.25">
      <c r="B95" s="317" t="s">
        <v>137</v>
      </c>
      <c r="C95" s="327">
        <v>2.13</v>
      </c>
    </row>
    <row r="96" spans="2:3" x14ac:dyDescent="0.25">
      <c r="B96" s="317" t="s">
        <v>133</v>
      </c>
      <c r="C96" s="327">
        <v>1.84</v>
      </c>
    </row>
    <row r="97" spans="2:3" x14ac:dyDescent="0.25">
      <c r="B97" s="317" t="s">
        <v>129</v>
      </c>
      <c r="C97" s="327">
        <v>1.96</v>
      </c>
    </row>
    <row r="98" spans="2:3" x14ac:dyDescent="0.25">
      <c r="B98" s="317" t="s">
        <v>125</v>
      </c>
      <c r="C98" s="327">
        <v>1.61</v>
      </c>
    </row>
    <row r="99" spans="2:3" x14ac:dyDescent="0.25">
      <c r="B99" s="317" t="s">
        <v>121</v>
      </c>
      <c r="C99" s="327">
        <v>1.41</v>
      </c>
    </row>
    <row r="100" spans="2:3" x14ac:dyDescent="0.25">
      <c r="B100" s="317" t="s">
        <v>117</v>
      </c>
      <c r="C100" s="327">
        <v>1.48</v>
      </c>
    </row>
    <row r="101" spans="2:3" x14ac:dyDescent="0.25">
      <c r="B101" s="317" t="s">
        <v>113</v>
      </c>
      <c r="C101" s="327">
        <v>1.59</v>
      </c>
    </row>
    <row r="102" spans="2:3" x14ac:dyDescent="0.25">
      <c r="B102" s="317" t="s">
        <v>109</v>
      </c>
      <c r="C102" s="327">
        <v>1.71</v>
      </c>
    </row>
    <row r="103" spans="2:3" x14ac:dyDescent="0.25">
      <c r="B103" s="317" t="s">
        <v>105</v>
      </c>
      <c r="C103" s="327">
        <v>1.82</v>
      </c>
    </row>
    <row r="104" spans="2:3" x14ac:dyDescent="0.25">
      <c r="B104" s="317" t="s">
        <v>101</v>
      </c>
      <c r="C104" s="327">
        <v>1.73</v>
      </c>
    </row>
    <row r="105" spans="2:3" x14ac:dyDescent="0.25">
      <c r="B105" s="317" t="s">
        <v>97</v>
      </c>
      <c r="C105" s="327">
        <v>1.58</v>
      </c>
    </row>
    <row r="106" spans="2:3" x14ac:dyDescent="0.25">
      <c r="B106" s="317" t="s">
        <v>93</v>
      </c>
      <c r="C106" s="327">
        <v>1.1499999999999999</v>
      </c>
    </row>
    <row r="107" spans="2:3" x14ac:dyDescent="0.25">
      <c r="B107" s="317" t="s">
        <v>89</v>
      </c>
      <c r="C107" s="327">
        <v>0.98</v>
      </c>
    </row>
    <row r="108" spans="2:3" x14ac:dyDescent="0.25">
      <c r="B108" s="317" t="s">
        <v>85</v>
      </c>
      <c r="C108" s="327">
        <v>1.02</v>
      </c>
    </row>
    <row r="109" spans="2:3" x14ac:dyDescent="0.25">
      <c r="B109" s="317" t="s">
        <v>81</v>
      </c>
      <c r="C109" s="327">
        <v>1.07</v>
      </c>
    </row>
    <row r="110" spans="2:3" x14ac:dyDescent="0.25">
      <c r="B110" s="317" t="s">
        <v>77</v>
      </c>
      <c r="C110" s="327">
        <v>1.1200000000000001</v>
      </c>
    </row>
    <row r="111" spans="2:3" x14ac:dyDescent="0.25">
      <c r="B111" s="317" t="s">
        <v>73</v>
      </c>
      <c r="C111" s="327">
        <v>1.38</v>
      </c>
    </row>
    <row r="112" spans="2:3" x14ac:dyDescent="0.25">
      <c r="B112" s="317" t="s">
        <v>69</v>
      </c>
      <c r="C112" s="327">
        <v>1.5</v>
      </c>
    </row>
    <row r="113" spans="2:3" x14ac:dyDescent="0.25">
      <c r="B113" s="317" t="s">
        <v>65</v>
      </c>
      <c r="C113" s="327">
        <v>1.22</v>
      </c>
    </row>
    <row r="114" spans="2:3" x14ac:dyDescent="0.25">
      <c r="B114" s="317" t="s">
        <v>61</v>
      </c>
      <c r="C114" s="327">
        <v>1.1499999999999999</v>
      </c>
    </row>
    <row r="115" spans="2:3" x14ac:dyDescent="0.25">
      <c r="B115" s="317" t="s">
        <v>57</v>
      </c>
      <c r="C115" s="327">
        <v>1.24</v>
      </c>
    </row>
    <row r="116" spans="2:3" x14ac:dyDescent="0.25">
      <c r="B116" s="317" t="s">
        <v>53</v>
      </c>
      <c r="C116" s="327">
        <v>1.4</v>
      </c>
    </row>
    <row r="117" spans="2:3" x14ac:dyDescent="0.25">
      <c r="B117" s="317" t="s">
        <v>49</v>
      </c>
      <c r="C117" s="327">
        <v>1.59</v>
      </c>
    </row>
    <row r="118" spans="2:3" x14ac:dyDescent="0.25">
      <c r="B118" s="317" t="s">
        <v>45</v>
      </c>
      <c r="C118" s="327">
        <v>1.47</v>
      </c>
    </row>
    <row r="119" spans="2:3" x14ac:dyDescent="0.25">
      <c r="B119" s="317" t="s">
        <v>41</v>
      </c>
      <c r="C119" s="327">
        <v>1.45</v>
      </c>
    </row>
    <row r="120" spans="2:3" x14ac:dyDescent="0.25">
      <c r="B120" s="317" t="s">
        <v>37</v>
      </c>
      <c r="C120" s="327">
        <v>1.45</v>
      </c>
    </row>
    <row r="121" spans="2:3" x14ac:dyDescent="0.25">
      <c r="B121" s="317" t="s">
        <v>33</v>
      </c>
      <c r="C121" s="327">
        <v>1.52</v>
      </c>
    </row>
    <row r="122" spans="2:3" x14ac:dyDescent="0.25">
      <c r="B122" s="317" t="s">
        <v>29</v>
      </c>
      <c r="C122" s="327">
        <v>1.77</v>
      </c>
    </row>
    <row r="123" spans="2:3" x14ac:dyDescent="0.25">
      <c r="B123" s="317" t="s">
        <v>25</v>
      </c>
      <c r="C123" s="327">
        <v>1.67</v>
      </c>
    </row>
    <row r="124" spans="2:3" x14ac:dyDescent="0.25">
      <c r="B124" s="317" t="s">
        <v>21</v>
      </c>
      <c r="C124" s="327">
        <v>1.59</v>
      </c>
    </row>
    <row r="125" spans="2:3" x14ac:dyDescent="0.25">
      <c r="B125" s="317" t="s">
        <v>17</v>
      </c>
      <c r="C125" s="327">
        <v>1.33</v>
      </c>
    </row>
    <row r="126" spans="2:3" x14ac:dyDescent="0.25">
      <c r="B126" s="317" t="s">
        <v>13</v>
      </c>
      <c r="C126" s="327">
        <v>1.32</v>
      </c>
    </row>
    <row r="127" spans="2:3" x14ac:dyDescent="0.25">
      <c r="B127" s="317" t="s">
        <v>9</v>
      </c>
      <c r="C127" s="327">
        <v>1.35</v>
      </c>
    </row>
    <row r="128" spans="2:3" x14ac:dyDescent="0.25">
      <c r="B128" s="317" t="s">
        <v>148</v>
      </c>
      <c r="C128" s="327">
        <v>1.79</v>
      </c>
    </row>
    <row r="129" spans="2:3" x14ac:dyDescent="0.25">
      <c r="B129" s="317" t="s">
        <v>144</v>
      </c>
      <c r="C129" s="327">
        <v>1.93</v>
      </c>
    </row>
    <row r="130" spans="2:3" x14ac:dyDescent="0.25">
      <c r="B130" s="317" t="s">
        <v>140</v>
      </c>
      <c r="C130" s="327">
        <v>2.0499999999999998</v>
      </c>
    </row>
    <row r="131" spans="2:3" x14ac:dyDescent="0.25">
      <c r="B131" s="317" t="s">
        <v>136</v>
      </c>
      <c r="C131" s="327">
        <v>2.2000000000000002</v>
      </c>
    </row>
    <row r="132" spans="2:3" x14ac:dyDescent="0.25">
      <c r="B132" s="317" t="s">
        <v>132</v>
      </c>
      <c r="C132" s="327">
        <v>2</v>
      </c>
    </row>
    <row r="133" spans="2:3" x14ac:dyDescent="0.25">
      <c r="B133" s="317" t="s">
        <v>128</v>
      </c>
      <c r="C133" s="327">
        <v>2.16</v>
      </c>
    </row>
    <row r="134" spans="2:3" x14ac:dyDescent="0.25">
      <c r="B134" s="317" t="s">
        <v>124</v>
      </c>
      <c r="C134" s="327">
        <v>2.2599999999999998</v>
      </c>
    </row>
    <row r="135" spans="2:3" x14ac:dyDescent="0.25">
      <c r="B135" s="317" t="s">
        <v>120</v>
      </c>
      <c r="C135" s="327">
        <v>2.2200000000000002</v>
      </c>
    </row>
    <row r="137" spans="2:3" x14ac:dyDescent="0.25">
      <c r="B137" s="317" t="s">
        <v>152</v>
      </c>
      <c r="C137" s="328">
        <f>+AVERAGE(C16:C135)/120</f>
        <v>1.5985416666666665E-2</v>
      </c>
    </row>
    <row r="138" spans="2:3" x14ac:dyDescent="0.25">
      <c r="C138" s="326"/>
    </row>
    <row r="139" spans="2:3" x14ac:dyDescent="0.25">
      <c r="B139" s="317" t="s">
        <v>166</v>
      </c>
      <c r="C139" s="326">
        <f>C137+0.0075</f>
        <v>2.3485416666666665E-2</v>
      </c>
    </row>
  </sheetData>
  <phoneticPr fontId="49" type="noConversion"/>
  <hyperlinks>
    <hyperlink ref="F11" r:id="rId1" display="https://www.bankofcanada.ca/rates/interest-rates/lookup-bond-yields/?lookupPage=lookup_bond_yields.php&amp;startRange=2012-03-21&amp;rangeType=dates&amp;dFrom=2013-01-01&amp;dTo=2021-12-31&amp;rangeValue=1&amp;rangeWeeklyValue=1&amp;rangeMonthlyValue=1&amp;series%5B%5D=LOOKUPS_V122543&amp;series%5B%5D=LOOKUPS_V122553&amp;submit_button=Submit" xr:uid="{84CFD974-6A74-4BFE-9071-AEA4434122D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70CDE-44CE-450D-933D-69D8D14E4228}">
  <sheetPr>
    <tabColor rgb="FFFFC000"/>
  </sheetPr>
  <dimension ref="B1:P49"/>
  <sheetViews>
    <sheetView topLeftCell="A4" zoomScale="85" zoomScaleNormal="85" workbookViewId="0">
      <selection activeCell="S30" sqref="S30"/>
    </sheetView>
  </sheetViews>
  <sheetFormatPr defaultColWidth="8.85546875" defaultRowHeight="15" x14ac:dyDescent="0.25"/>
  <cols>
    <col min="1" max="1" width="8.85546875" style="317"/>
    <col min="2" max="2" width="11.140625" style="317" customWidth="1"/>
    <col min="3" max="3" width="13.140625" style="317" customWidth="1"/>
    <col min="4" max="5" width="12.5703125" style="317" customWidth="1"/>
    <col min="6" max="6" width="13.5703125" style="340" customWidth="1"/>
    <col min="7" max="7" width="8.85546875" style="317"/>
    <col min="8" max="8" width="10.42578125" style="317" bestFit="1" customWidth="1"/>
    <col min="9" max="16384" width="8.85546875" style="317"/>
  </cols>
  <sheetData>
    <row r="1" spans="2:16" x14ac:dyDescent="0.25">
      <c r="K1" s="438" t="s">
        <v>936</v>
      </c>
      <c r="O1" s="340"/>
    </row>
    <row r="2" spans="2:16" x14ac:dyDescent="0.25">
      <c r="K2" s="436" t="s">
        <v>937</v>
      </c>
      <c r="M2" s="438"/>
      <c r="O2" s="340"/>
    </row>
    <row r="3" spans="2:16" x14ac:dyDescent="0.25">
      <c r="K3" s="318" t="s">
        <v>938</v>
      </c>
      <c r="M3" s="438"/>
      <c r="O3" s="340"/>
    </row>
    <row r="4" spans="2:16" x14ac:dyDescent="0.25">
      <c r="B4" s="318" t="s">
        <v>175</v>
      </c>
      <c r="O4" s="340"/>
    </row>
    <row r="6" spans="2:16" x14ac:dyDescent="0.25">
      <c r="B6" s="437" t="s">
        <v>167</v>
      </c>
      <c r="C6" s="330"/>
      <c r="D6" s="330"/>
      <c r="E6" s="330"/>
      <c r="F6" s="331"/>
      <c r="K6" s="437" t="s">
        <v>939</v>
      </c>
      <c r="L6" s="330"/>
      <c r="M6" s="330"/>
      <c r="N6" s="330"/>
      <c r="O6" s="331"/>
    </row>
    <row r="7" spans="2:16" ht="60" x14ac:dyDescent="0.25">
      <c r="B7" s="332" t="s">
        <v>168</v>
      </c>
      <c r="C7" s="333" t="s">
        <v>169</v>
      </c>
      <c r="D7" s="333" t="s">
        <v>170</v>
      </c>
      <c r="E7" s="334" t="s">
        <v>171</v>
      </c>
      <c r="F7" s="334" t="s">
        <v>172</v>
      </c>
      <c r="K7" s="332" t="s">
        <v>168</v>
      </c>
      <c r="L7" s="333" t="s">
        <v>169</v>
      </c>
      <c r="M7" s="333" t="s">
        <v>170</v>
      </c>
      <c r="N7" s="334" t="s">
        <v>171</v>
      </c>
      <c r="O7" s="334" t="s">
        <v>172</v>
      </c>
    </row>
    <row r="8" spans="2:16" x14ac:dyDescent="0.25">
      <c r="B8" s="332" t="s">
        <v>173</v>
      </c>
      <c r="C8" s="333">
        <v>61.1</v>
      </c>
      <c r="D8" s="333">
        <v>63.9</v>
      </c>
      <c r="E8" s="334"/>
      <c r="F8" s="334"/>
      <c r="K8" s="332" t="s">
        <v>173</v>
      </c>
      <c r="L8" s="333">
        <v>43.5</v>
      </c>
      <c r="M8" s="333">
        <v>47.8</v>
      </c>
      <c r="N8" s="334"/>
      <c r="O8" s="439"/>
    </row>
    <row r="9" spans="2:16" x14ac:dyDescent="0.25">
      <c r="B9" s="332" t="s">
        <v>174</v>
      </c>
      <c r="C9" s="335">
        <v>62.6</v>
      </c>
      <c r="D9" s="335">
        <v>65.5</v>
      </c>
      <c r="E9" s="336">
        <f>+(C9-C8)/C8</f>
        <v>2.4549918166939442E-2</v>
      </c>
      <c r="F9" s="336">
        <f>+(D9-D8)/D8</f>
        <v>2.5039123630672948E-2</v>
      </c>
      <c r="K9" s="332" t="s">
        <v>174</v>
      </c>
      <c r="L9" s="335">
        <v>44.6</v>
      </c>
      <c r="M9" s="335">
        <v>48.9</v>
      </c>
      <c r="N9" s="336">
        <f>+(L9-L8)/L8</f>
        <v>2.5287356321839115E-2</v>
      </c>
      <c r="O9" s="336">
        <f>+(M9-M8)/M8</f>
        <v>2.3012552301255262E-2</v>
      </c>
      <c r="P9" s="318"/>
    </row>
    <row r="10" spans="2:16" x14ac:dyDescent="0.25">
      <c r="B10" s="332" t="s">
        <v>176</v>
      </c>
      <c r="C10" s="335">
        <v>64.400000000000006</v>
      </c>
      <c r="D10" s="335">
        <v>67.400000000000006</v>
      </c>
      <c r="E10" s="336">
        <f>+(C10-C9)/C9</f>
        <v>2.875399361022371E-2</v>
      </c>
      <c r="F10" s="336">
        <f>+(D10-D9)/D9</f>
        <v>2.9007633587786345E-2</v>
      </c>
      <c r="K10" s="332" t="s">
        <v>176</v>
      </c>
      <c r="L10" s="335">
        <v>45.9</v>
      </c>
      <c r="M10" s="335">
        <v>50.3</v>
      </c>
      <c r="N10" s="336">
        <f t="shared" ref="N10:O31" si="0">+(L10-L9)/L9</f>
        <v>2.9147982062780204E-2</v>
      </c>
      <c r="O10" s="336">
        <f t="shared" si="0"/>
        <v>2.8629856850715719E-2</v>
      </c>
    </row>
    <row r="11" spans="2:16" x14ac:dyDescent="0.25">
      <c r="B11" s="332" t="s">
        <v>177</v>
      </c>
      <c r="C11" s="335">
        <v>70</v>
      </c>
      <c r="D11" s="335">
        <v>71.8</v>
      </c>
      <c r="E11" s="337">
        <f t="shared" ref="E11:F29" si="1">+(C11-C10)/C10</f>
        <v>8.6956521739130335E-2</v>
      </c>
      <c r="F11" s="337">
        <f t="shared" si="1"/>
        <v>6.5281899109792152E-2</v>
      </c>
      <c r="K11" s="332" t="s">
        <v>177</v>
      </c>
      <c r="L11" s="335">
        <v>49.8</v>
      </c>
      <c r="M11" s="335">
        <v>53.7</v>
      </c>
      <c r="N11" s="336">
        <f t="shared" si="0"/>
        <v>8.4967320261437884E-2</v>
      </c>
      <c r="O11" s="336">
        <f t="shared" si="0"/>
        <v>6.7594433399602499E-2</v>
      </c>
      <c r="P11" s="318"/>
    </row>
    <row r="12" spans="2:16" x14ac:dyDescent="0.25">
      <c r="B12" s="332" t="s">
        <v>178</v>
      </c>
      <c r="C12" s="335">
        <v>73.5</v>
      </c>
      <c r="D12" s="335">
        <v>74.8</v>
      </c>
      <c r="E12" s="337">
        <f t="shared" si="1"/>
        <v>0.05</v>
      </c>
      <c r="F12" s="337">
        <f t="shared" si="1"/>
        <v>4.1782729805013928E-2</v>
      </c>
      <c r="K12" s="332" t="s">
        <v>178</v>
      </c>
      <c r="L12" s="335">
        <v>52.4</v>
      </c>
      <c r="M12" s="335">
        <v>55.9</v>
      </c>
      <c r="N12" s="336">
        <f t="shared" si="0"/>
        <v>5.2208835341365493E-2</v>
      </c>
      <c r="O12" s="336">
        <f t="shared" si="0"/>
        <v>4.0968342644320213E-2</v>
      </c>
      <c r="P12" s="318"/>
    </row>
    <row r="13" spans="2:16" x14ac:dyDescent="0.25">
      <c r="B13" s="332" t="s">
        <v>179</v>
      </c>
      <c r="C13" s="335">
        <v>80.3</v>
      </c>
      <c r="D13" s="335">
        <v>78.5</v>
      </c>
      <c r="E13" s="337">
        <f t="shared" si="1"/>
        <v>9.2517006802721055E-2</v>
      </c>
      <c r="F13" s="337">
        <f t="shared" si="1"/>
        <v>4.9465240641711268E-2</v>
      </c>
      <c r="K13" s="332" t="s">
        <v>179</v>
      </c>
      <c r="L13" s="335">
        <v>57.2</v>
      </c>
      <c r="M13" s="335">
        <v>58.7</v>
      </c>
      <c r="N13" s="336">
        <f t="shared" si="0"/>
        <v>9.1603053435114587E-2</v>
      </c>
      <c r="O13" s="336">
        <f t="shared" si="0"/>
        <v>5.0089445438282726E-2</v>
      </c>
    </row>
    <row r="14" spans="2:16" x14ac:dyDescent="0.25">
      <c r="B14" s="332" t="s">
        <v>180</v>
      </c>
      <c r="C14" s="335">
        <v>86.8</v>
      </c>
      <c r="D14" s="335">
        <v>82.8</v>
      </c>
      <c r="E14" s="337">
        <f t="shared" si="1"/>
        <v>8.0946450809464512E-2</v>
      </c>
      <c r="F14" s="337">
        <f t="shared" si="1"/>
        <v>5.4777070063694235E-2</v>
      </c>
      <c r="K14" s="332" t="s">
        <v>180</v>
      </c>
      <c r="L14" s="335">
        <v>61.9</v>
      </c>
      <c r="M14" s="335">
        <v>61.9</v>
      </c>
      <c r="N14" s="336">
        <f t="shared" si="0"/>
        <v>8.2167832167832092E-2</v>
      </c>
      <c r="O14" s="336">
        <f t="shared" si="0"/>
        <v>5.4514480408858527E-2</v>
      </c>
    </row>
    <row r="15" spans="2:16" x14ac:dyDescent="0.25">
      <c r="B15" s="332" t="s">
        <v>181</v>
      </c>
      <c r="C15" s="335">
        <v>94</v>
      </c>
      <c r="D15" s="335">
        <v>88.4</v>
      </c>
      <c r="E15" s="337">
        <f t="shared" si="1"/>
        <v>8.2949308755760398E-2</v>
      </c>
      <c r="F15" s="337">
        <f t="shared" si="1"/>
        <v>6.7632850241546E-2</v>
      </c>
      <c r="K15" s="332" t="s">
        <v>181</v>
      </c>
      <c r="L15" s="335">
        <v>66.900000000000006</v>
      </c>
      <c r="M15" s="335">
        <v>66</v>
      </c>
      <c r="N15" s="336">
        <f t="shared" si="0"/>
        <v>8.0775444264943569E-2</v>
      </c>
      <c r="O15" s="336">
        <f t="shared" si="0"/>
        <v>6.6235864297253658E-2</v>
      </c>
    </row>
    <row r="16" spans="2:16" x14ac:dyDescent="0.25">
      <c r="B16" s="332" t="s">
        <v>182</v>
      </c>
      <c r="C16" s="335">
        <v>86.8</v>
      </c>
      <c r="D16" s="335">
        <v>88</v>
      </c>
      <c r="E16" s="337">
        <f t="shared" si="1"/>
        <v>-7.6595744680851091E-2</v>
      </c>
      <c r="F16" s="337">
        <f t="shared" si="1"/>
        <v>-4.524886877828118E-3</v>
      </c>
      <c r="K16" s="332" t="s">
        <v>182</v>
      </c>
      <c r="L16" s="335">
        <v>61.9</v>
      </c>
      <c r="M16" s="335">
        <v>65.7</v>
      </c>
      <c r="N16" s="336">
        <f t="shared" si="0"/>
        <v>-7.4738415545590534E-2</v>
      </c>
      <c r="O16" s="336">
        <f t="shared" si="0"/>
        <v>-4.5454545454545027E-3</v>
      </c>
    </row>
    <row r="17" spans="2:16" x14ac:dyDescent="0.25">
      <c r="B17" s="332" t="s">
        <v>183</v>
      </c>
      <c r="C17" s="335">
        <v>88.3</v>
      </c>
      <c r="D17" s="335">
        <v>89.4</v>
      </c>
      <c r="E17" s="337">
        <f t="shared" si="1"/>
        <v>1.7281105990783412E-2</v>
      </c>
      <c r="F17" s="337">
        <f t="shared" si="1"/>
        <v>1.5909090909090973E-2</v>
      </c>
      <c r="K17" s="332" t="s">
        <v>183</v>
      </c>
      <c r="L17" s="335">
        <v>62.9</v>
      </c>
      <c r="M17" s="335">
        <v>66.8</v>
      </c>
      <c r="N17" s="336">
        <f t="shared" si="0"/>
        <v>1.6155088852988692E-2</v>
      </c>
      <c r="O17" s="336">
        <f t="shared" si="0"/>
        <v>1.6742770167427614E-2</v>
      </c>
    </row>
    <row r="18" spans="2:16" x14ac:dyDescent="0.25">
      <c r="B18" s="332" t="s">
        <v>184</v>
      </c>
      <c r="C18" s="335">
        <v>92</v>
      </c>
      <c r="D18" s="335">
        <v>91.9</v>
      </c>
      <c r="E18" s="337">
        <f t="shared" si="1"/>
        <v>4.1902604756511926E-2</v>
      </c>
      <c r="F18" s="337">
        <f t="shared" si="1"/>
        <v>2.7964205816554809E-2</v>
      </c>
      <c r="K18" s="332" t="s">
        <v>184</v>
      </c>
      <c r="L18" s="335">
        <v>65.5</v>
      </c>
      <c r="M18" s="335">
        <v>68.599999999999994</v>
      </c>
      <c r="N18" s="336">
        <f t="shared" si="0"/>
        <v>4.1335453100159007E-2</v>
      </c>
      <c r="O18" s="336">
        <f t="shared" si="0"/>
        <v>2.6946107784431097E-2</v>
      </c>
    </row>
    <row r="19" spans="2:16" x14ac:dyDescent="0.25">
      <c r="B19" s="332" t="s">
        <v>185</v>
      </c>
      <c r="C19" s="335">
        <v>93.9</v>
      </c>
      <c r="D19" s="335">
        <v>93.8</v>
      </c>
      <c r="E19" s="337">
        <f t="shared" si="1"/>
        <v>2.0652173913043539E-2</v>
      </c>
      <c r="F19" s="337">
        <f t="shared" si="1"/>
        <v>2.067464635473331E-2</v>
      </c>
      <c r="K19" s="332" t="s">
        <v>185</v>
      </c>
      <c r="L19" s="335">
        <v>66.900000000000006</v>
      </c>
      <c r="M19" s="335">
        <v>70.099999999999994</v>
      </c>
      <c r="N19" s="336">
        <f t="shared" si="0"/>
        <v>2.1374045801526805E-2</v>
      </c>
      <c r="O19" s="336">
        <f t="shared" si="0"/>
        <v>2.1865889212827991E-2</v>
      </c>
    </row>
    <row r="20" spans="2:16" x14ac:dyDescent="0.25">
      <c r="B20" s="332" t="s">
        <v>186</v>
      </c>
      <c r="C20" s="335">
        <v>94.6</v>
      </c>
      <c r="D20" s="335">
        <v>94.5</v>
      </c>
      <c r="E20" s="337">
        <f t="shared" si="1"/>
        <v>7.4547390841319342E-3</v>
      </c>
      <c r="F20" s="337">
        <f t="shared" si="1"/>
        <v>7.4626865671642093E-3</v>
      </c>
      <c r="K20" s="332" t="s">
        <v>186</v>
      </c>
      <c r="L20" s="335">
        <v>67.400000000000006</v>
      </c>
      <c r="M20" s="335">
        <v>70.599999999999994</v>
      </c>
      <c r="N20" s="336">
        <f t="shared" si="0"/>
        <v>7.4738415545590429E-3</v>
      </c>
      <c r="O20" s="336">
        <f t="shared" si="0"/>
        <v>7.1326676176890159E-3</v>
      </c>
    </row>
    <row r="21" spans="2:16" x14ac:dyDescent="0.25">
      <c r="B21" s="332" t="s">
        <v>187</v>
      </c>
      <c r="C21" s="335">
        <v>96</v>
      </c>
      <c r="D21" s="335">
        <v>96.4</v>
      </c>
      <c r="E21" s="337">
        <f t="shared" si="1"/>
        <v>1.4799154334038117E-2</v>
      </c>
      <c r="F21" s="337">
        <f t="shared" si="1"/>
        <v>2.0105820105820165E-2</v>
      </c>
      <c r="K21" s="332" t="s">
        <v>187</v>
      </c>
      <c r="L21" s="335">
        <v>68.400000000000006</v>
      </c>
      <c r="M21" s="335">
        <v>72</v>
      </c>
      <c r="N21" s="336">
        <f t="shared" si="0"/>
        <v>1.4836795252225518E-2</v>
      </c>
      <c r="O21" s="336">
        <f t="shared" si="0"/>
        <v>1.9830028328611981E-2</v>
      </c>
      <c r="P21" s="438"/>
    </row>
    <row r="22" spans="2:16" x14ac:dyDescent="0.25">
      <c r="B22" s="332" t="s">
        <v>188</v>
      </c>
      <c r="C22" s="335">
        <v>96.6</v>
      </c>
      <c r="D22" s="335">
        <v>98</v>
      </c>
      <c r="E22" s="337">
        <f t="shared" si="1"/>
        <v>6.2499999999999405E-3</v>
      </c>
      <c r="F22" s="337">
        <f t="shared" si="1"/>
        <v>1.6597510373443924E-2</v>
      </c>
      <c r="K22" s="332" t="s">
        <v>188</v>
      </c>
      <c r="L22" s="335">
        <v>68.8</v>
      </c>
      <c r="M22" s="335">
        <v>73.2</v>
      </c>
      <c r="N22" s="336">
        <f t="shared" si="0"/>
        <v>5.8479532163741438E-3</v>
      </c>
      <c r="O22" s="336">
        <f t="shared" si="0"/>
        <v>1.6666666666666705E-2</v>
      </c>
    </row>
    <row r="23" spans="2:16" x14ac:dyDescent="0.25">
      <c r="B23" s="332" t="s">
        <v>189</v>
      </c>
      <c r="C23" s="335">
        <v>98.2</v>
      </c>
      <c r="D23" s="335">
        <v>98.3</v>
      </c>
      <c r="E23" s="337">
        <f t="shared" si="1"/>
        <v>1.6563146997929695E-2</v>
      </c>
      <c r="F23" s="337">
        <f t="shared" si="1"/>
        <v>3.0612244897958892E-3</v>
      </c>
      <c r="K23" s="332" t="s">
        <v>189</v>
      </c>
      <c r="L23" s="335">
        <v>69.900000000000006</v>
      </c>
      <c r="M23" s="335">
        <v>73.400000000000006</v>
      </c>
      <c r="N23" s="336">
        <f t="shared" si="0"/>
        <v>1.5988372093023381E-2</v>
      </c>
      <c r="O23" s="336">
        <f t="shared" si="0"/>
        <v>2.7322404371585085E-3</v>
      </c>
    </row>
    <row r="24" spans="2:16" x14ac:dyDescent="0.25">
      <c r="B24" s="332" t="s">
        <v>190</v>
      </c>
      <c r="C24" s="335">
        <v>100.9</v>
      </c>
      <c r="D24" s="335">
        <v>101.1</v>
      </c>
      <c r="E24" s="337">
        <f t="shared" si="1"/>
        <v>2.7494908350305526E-2</v>
      </c>
      <c r="F24" s="337">
        <f t="shared" si="1"/>
        <v>2.8484231943031509E-2</v>
      </c>
      <c r="K24" s="332" t="s">
        <v>190</v>
      </c>
      <c r="L24" s="335">
        <v>71.900000000000006</v>
      </c>
      <c r="M24" s="335">
        <v>79.3</v>
      </c>
      <c r="N24" s="336">
        <f t="shared" si="0"/>
        <v>2.8612303290414875E-2</v>
      </c>
      <c r="O24" s="336">
        <f t="shared" si="0"/>
        <v>8.0381471389645659E-2</v>
      </c>
    </row>
    <row r="25" spans="2:16" x14ac:dyDescent="0.25">
      <c r="B25" s="332" t="s">
        <v>191</v>
      </c>
      <c r="C25" s="335">
        <v>105.8</v>
      </c>
      <c r="D25" s="335">
        <v>105</v>
      </c>
      <c r="E25" s="337">
        <f>+(C25-C24)/C24</f>
        <v>4.8562933597621323E-2</v>
      </c>
      <c r="F25" s="337">
        <f t="shared" si="1"/>
        <v>3.8575667655786405E-2</v>
      </c>
      <c r="K25" s="332" t="s">
        <v>191</v>
      </c>
      <c r="L25" s="335">
        <v>75.3</v>
      </c>
      <c r="M25" s="335">
        <v>78.400000000000006</v>
      </c>
      <c r="N25" s="336">
        <f t="shared" si="0"/>
        <v>4.7287899860917817E-2</v>
      </c>
      <c r="O25" s="336">
        <f t="shared" si="0"/>
        <v>-1.1349306431273538E-2</v>
      </c>
    </row>
    <row r="26" spans="2:16" x14ac:dyDescent="0.25">
      <c r="B26" s="332" t="s">
        <v>192</v>
      </c>
      <c r="C26" s="335">
        <v>108.1</v>
      </c>
      <c r="D26" s="335">
        <v>106.2</v>
      </c>
      <c r="E26" s="338">
        <f t="shared" si="1"/>
        <v>2.1739130434782584E-2</v>
      </c>
      <c r="F26" s="338">
        <f t="shared" si="1"/>
        <v>1.1428571428571456E-2</v>
      </c>
      <c r="K26" s="332" t="s">
        <v>192</v>
      </c>
      <c r="L26" s="335">
        <v>77</v>
      </c>
      <c r="M26" s="335">
        <v>79.3</v>
      </c>
      <c r="N26" s="336">
        <f t="shared" si="0"/>
        <v>2.2576361221779587E-2</v>
      </c>
      <c r="O26" s="336">
        <f t="shared" si="0"/>
        <v>1.1479591836734583E-2</v>
      </c>
    </row>
    <row r="27" spans="2:16" x14ac:dyDescent="0.25">
      <c r="B27" s="332" t="s">
        <v>193</v>
      </c>
      <c r="C27" s="335">
        <v>109.4</v>
      </c>
      <c r="D27" s="335">
        <v>108.7</v>
      </c>
      <c r="E27" s="338">
        <f t="shared" si="1"/>
        <v>1.2025901942645804E-2</v>
      </c>
      <c r="F27" s="338">
        <f t="shared" si="1"/>
        <v>2.3540489642184557E-2</v>
      </c>
      <c r="K27" s="332" t="s">
        <v>193</v>
      </c>
      <c r="L27" s="335">
        <v>77.900000000000006</v>
      </c>
      <c r="M27" s="335">
        <v>81.2</v>
      </c>
      <c r="N27" s="440">
        <f t="shared" si="0"/>
        <v>1.1688311688311762E-2</v>
      </c>
      <c r="O27" s="440">
        <f t="shared" si="0"/>
        <v>2.3959646910466655E-2</v>
      </c>
    </row>
    <row r="28" spans="2:16" x14ac:dyDescent="0.25">
      <c r="B28" s="332" t="s">
        <v>194</v>
      </c>
      <c r="C28" s="335">
        <v>121.9</v>
      </c>
      <c r="D28" s="335">
        <v>120.4</v>
      </c>
      <c r="E28" s="338">
        <f t="shared" si="1"/>
        <v>0.11425959780621571</v>
      </c>
      <c r="F28" s="338">
        <f t="shared" si="1"/>
        <v>0.10763569457221714</v>
      </c>
      <c r="K28" s="332" t="s">
        <v>194</v>
      </c>
      <c r="L28" s="335">
        <v>86.8</v>
      </c>
      <c r="M28" s="335">
        <v>90</v>
      </c>
      <c r="N28" s="440">
        <f t="shared" si="0"/>
        <v>0.11424903722721426</v>
      </c>
      <c r="O28" s="440">
        <f t="shared" si="0"/>
        <v>0.10837438423645317</v>
      </c>
    </row>
    <row r="29" spans="2:16" x14ac:dyDescent="0.25">
      <c r="B29" s="332" t="s">
        <v>195</v>
      </c>
      <c r="C29" s="335">
        <v>135.4</v>
      </c>
      <c r="D29" s="335">
        <v>129.6</v>
      </c>
      <c r="E29" s="339">
        <f>+(C29-C28)/C28</f>
        <v>0.11074651353568499</v>
      </c>
      <c r="F29" s="338">
        <f t="shared" si="1"/>
        <v>7.6411960132890269E-2</v>
      </c>
      <c r="K29" s="332" t="s">
        <v>195</v>
      </c>
      <c r="L29" s="335">
        <v>96.5</v>
      </c>
      <c r="M29" s="441">
        <v>96.8</v>
      </c>
      <c r="N29" s="440">
        <f t="shared" si="0"/>
        <v>0.11175115207373275</v>
      </c>
      <c r="O29" s="440">
        <f t="shared" si="0"/>
        <v>7.5555555555555529E-2</v>
      </c>
      <c r="P29" s="442"/>
    </row>
    <row r="30" spans="2:16" x14ac:dyDescent="0.25">
      <c r="B30" s="332" t="s">
        <v>196</v>
      </c>
      <c r="C30" s="335">
        <v>142.69999999999999</v>
      </c>
      <c r="D30" s="335">
        <v>135.4</v>
      </c>
      <c r="E30" s="339">
        <f>+(C30-C29)/C29</f>
        <v>5.3914327917281998E-2</v>
      </c>
      <c r="F30" s="338">
        <f t="shared" ref="F30" si="2">+(D30-D29)/D29</f>
        <v>4.4753086419753174E-2</v>
      </c>
      <c r="K30" s="332" t="s">
        <v>196</v>
      </c>
      <c r="L30" s="335">
        <v>101.7</v>
      </c>
      <c r="M30" s="443">
        <v>101.1</v>
      </c>
      <c r="N30" s="440">
        <f t="shared" si="0"/>
        <v>5.3886010362694331E-2</v>
      </c>
      <c r="O30" s="440">
        <f t="shared" si="0"/>
        <v>4.4421487603305755E-2</v>
      </c>
      <c r="P30" s="442"/>
    </row>
    <row r="31" spans="2:16" x14ac:dyDescent="0.25">
      <c r="E31" s="317" t="s">
        <v>197</v>
      </c>
      <c r="F31" s="340" t="s">
        <v>198</v>
      </c>
      <c r="H31" s="317" t="s">
        <v>199</v>
      </c>
      <c r="K31" s="444" t="s">
        <v>940</v>
      </c>
      <c r="L31" s="335">
        <v>105.6</v>
      </c>
      <c r="M31" s="335">
        <v>103</v>
      </c>
      <c r="N31" s="440">
        <f t="shared" si="0"/>
        <v>3.8348082595870123E-2</v>
      </c>
      <c r="O31" s="440">
        <f t="shared" si="0"/>
        <v>1.8793273986152381E-2</v>
      </c>
    </row>
    <row r="32" spans="2:16" x14ac:dyDescent="0.25">
      <c r="N32" s="317" t="s">
        <v>197</v>
      </c>
      <c r="O32" s="340" t="s">
        <v>198</v>
      </c>
      <c r="P32" s="317" t="s">
        <v>199</v>
      </c>
    </row>
    <row r="33" spans="2:16" x14ac:dyDescent="0.25">
      <c r="B33" s="317" t="s">
        <v>200</v>
      </c>
      <c r="E33" s="341">
        <f>+AVERAGE(E11:E30)</f>
        <v>4.1520989104360091E-2</v>
      </c>
      <c r="F33" s="341">
        <f>+AVERAGE(F11:F30)</f>
        <v>3.5850989469748365E-2</v>
      </c>
      <c r="G33" s="342"/>
      <c r="H33" s="341">
        <f>+(E33+F33)/2</f>
        <v>3.8685989287054232E-2</v>
      </c>
      <c r="O33" s="340"/>
    </row>
    <row r="34" spans="2:16" x14ac:dyDescent="0.25">
      <c r="B34" s="317" t="s">
        <v>201</v>
      </c>
      <c r="E34" s="341">
        <f>+AVERAGE(E26:E30)</f>
        <v>6.2537094327322212E-2</v>
      </c>
      <c r="F34" s="341">
        <f>+AVERAGE(F26:F30)</f>
        <v>5.2753960439123317E-2</v>
      </c>
      <c r="G34" s="342"/>
      <c r="H34" s="341">
        <f>+(E34+F34)/2</f>
        <v>5.7645527383222761E-2</v>
      </c>
      <c r="K34" s="438" t="s">
        <v>941</v>
      </c>
      <c r="N34" s="445">
        <f>+AVERAGE(N12:N31)</f>
        <v>3.9171372892772865E-2</v>
      </c>
      <c r="O34" s="445">
        <f>+AVERAGE(O12:O31)</f>
        <v>3.3539757677255685E-2</v>
      </c>
      <c r="P34" s="445">
        <f>+(N34+O34)/2</f>
        <v>3.6355565285014275E-2</v>
      </c>
    </row>
    <row r="35" spans="2:16" x14ac:dyDescent="0.25">
      <c r="E35" s="341"/>
      <c r="F35" s="341"/>
      <c r="G35" s="342"/>
      <c r="H35" s="341"/>
      <c r="K35" s="438" t="s">
        <v>942</v>
      </c>
      <c r="N35" s="445">
        <f>+AVERAGE(N27:N31)</f>
        <v>6.5984518789564656E-2</v>
      </c>
      <c r="O35" s="445">
        <f>+AVERAGE(O27:O31)</f>
        <v>5.4220869658386704E-2</v>
      </c>
      <c r="P35" s="445">
        <f>+(N35+O35)/2</f>
        <v>6.0102694223975683E-2</v>
      </c>
    </row>
    <row r="36" spans="2:16" x14ac:dyDescent="0.25">
      <c r="B36" s="317" t="s">
        <v>202</v>
      </c>
      <c r="E36" s="343">
        <f>+AVERAGE(E33:E34)</f>
        <v>5.2029041715841148E-2</v>
      </c>
      <c r="F36" s="343">
        <f>+AVERAGE(F33:F34)</f>
        <v>4.4302474954435844E-2</v>
      </c>
      <c r="G36" s="342"/>
      <c r="H36" s="324">
        <f>+AVERAGE(H33:H34)</f>
        <v>4.8165758335138496E-2</v>
      </c>
      <c r="N36" s="445"/>
      <c r="O36" s="445"/>
      <c r="P36" s="445"/>
    </row>
    <row r="37" spans="2:16" x14ac:dyDescent="0.25">
      <c r="K37" s="317" t="s">
        <v>202</v>
      </c>
      <c r="N37" s="446">
        <f>+AVERAGE(N34:N35)</f>
        <v>5.2577945841168761E-2</v>
      </c>
      <c r="O37" s="446">
        <f>+AVERAGE(O34:O35)</f>
        <v>4.3880313667821191E-2</v>
      </c>
      <c r="P37" s="447">
        <f>+AVERAGE(P34:P35)</f>
        <v>4.8229129754494976E-2</v>
      </c>
    </row>
    <row r="38" spans="2:16" x14ac:dyDescent="0.25">
      <c r="B38" s="317" t="s">
        <v>203</v>
      </c>
      <c r="O38" s="340"/>
    </row>
    <row r="39" spans="2:16" ht="15" customHeight="1" x14ac:dyDescent="0.25">
      <c r="B39" s="317" t="s">
        <v>204</v>
      </c>
      <c r="I39" s="448"/>
      <c r="J39" s="448"/>
      <c r="K39" s="317" t="s">
        <v>203</v>
      </c>
      <c r="O39" s="340"/>
    </row>
    <row r="40" spans="2:16" x14ac:dyDescent="0.25">
      <c r="B40" s="317" t="s">
        <v>205</v>
      </c>
      <c r="K40" s="317" t="s">
        <v>204</v>
      </c>
      <c r="O40" s="340"/>
    </row>
    <row r="41" spans="2:16" x14ac:dyDescent="0.25">
      <c r="B41" s="449" t="s">
        <v>206</v>
      </c>
      <c r="C41" s="448"/>
      <c r="D41" s="448"/>
      <c r="E41" s="448"/>
      <c r="F41" s="448"/>
      <c r="G41" s="448"/>
      <c r="H41" s="448"/>
    </row>
    <row r="42" spans="2:16" x14ac:dyDescent="0.25">
      <c r="F42" s="317"/>
    </row>
    <row r="45" spans="2:16" x14ac:dyDescent="0.25">
      <c r="F45" s="317"/>
    </row>
    <row r="46" spans="2:16" x14ac:dyDescent="0.25">
      <c r="F46" s="317"/>
    </row>
    <row r="47" spans="2:16" x14ac:dyDescent="0.25">
      <c r="F47" s="317"/>
    </row>
    <row r="49" spans="6:6" ht="30" customHeight="1" x14ac:dyDescent="0.25">
      <c r="F49" s="317"/>
    </row>
  </sheetData>
  <hyperlinks>
    <hyperlink ref="B4" r:id="rId1" display="https://www150.statcan.gc.ca/t1/tbl1/en/tv.action?pid=1810013501&amp;pickMembers%5B0%5D=2.8&amp;cubeTimeFrame.startMonth=10&amp;cubeTimeFrame.startYear=2002&amp;cubeTimeFrame.endMonth=10&amp;cubeTimeFrame.endYear=2021&amp;referencePeriods=20021001%2C20211001" xr:uid="{5FA49156-39E7-4E5D-93B0-6897EFF9D1BA}"/>
    <hyperlink ref="K3" r:id="rId2" display="https://www150.statcan.gc.ca/t1/tbl1/en/tv.action?pid=1810028901&amp;pickMembers%5B0%5D=2.7&amp;pickMembers%5B1%5D=3.1&amp;cubeTimeFrame.startMonth=10&amp;cubeTimeFrame.startYear=2001&amp;cubeTimeFrame.endMonth=10&amp;cubeTimeFrame.endYear=2025&amp;referencePeriods=20011001%2C20251001" xr:uid="{E715AE7C-7067-49D9-AD95-E07F5ACE4292}"/>
  </hyperlink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A4C46-556D-4C89-9AA4-9701A4B271FB}">
  <sheetPr>
    <tabColor rgb="FFFFC000"/>
  </sheetPr>
  <dimension ref="B2:J56"/>
  <sheetViews>
    <sheetView topLeftCell="A13" zoomScale="80" zoomScaleNormal="80" workbookViewId="0">
      <selection activeCell="D53" sqref="D53"/>
    </sheetView>
  </sheetViews>
  <sheetFormatPr defaultColWidth="8.85546875" defaultRowHeight="15" x14ac:dyDescent="0.25"/>
  <cols>
    <col min="1" max="1" width="8.85546875" style="317"/>
    <col min="2" max="3" width="11.140625" style="317" customWidth="1"/>
    <col min="4" max="4" width="13.140625" style="340" customWidth="1"/>
    <col min="5" max="16384" width="8.85546875" style="317"/>
  </cols>
  <sheetData>
    <row r="2" spans="2:10" x14ac:dyDescent="0.25">
      <c r="J2" s="325"/>
    </row>
    <row r="4" spans="2:10" x14ac:dyDescent="0.25">
      <c r="B4" s="329"/>
      <c r="C4" s="330"/>
      <c r="D4" s="331"/>
    </row>
    <row r="5" spans="2:10" ht="45" x14ac:dyDescent="0.25">
      <c r="B5" s="332" t="s">
        <v>168</v>
      </c>
      <c r="C5" s="333" t="s">
        <v>207</v>
      </c>
      <c r="D5" s="334" t="s">
        <v>208</v>
      </c>
    </row>
    <row r="6" spans="2:10" x14ac:dyDescent="0.25">
      <c r="B6" s="332">
        <v>1980</v>
      </c>
      <c r="C6" s="332">
        <v>45.2</v>
      </c>
      <c r="D6" s="344"/>
      <c r="F6" s="317" t="s">
        <v>209</v>
      </c>
    </row>
    <row r="7" spans="2:10" x14ac:dyDescent="0.25">
      <c r="B7" s="332">
        <v>1981</v>
      </c>
      <c r="C7" s="332">
        <v>50.6</v>
      </c>
      <c r="D7" s="344">
        <f t="shared" ref="D7:D47" si="0">+(C7-C6)/C6</f>
        <v>0.11946902654867253</v>
      </c>
      <c r="F7" s="318" t="s">
        <v>210</v>
      </c>
    </row>
    <row r="8" spans="2:10" x14ac:dyDescent="0.25">
      <c r="B8" s="332">
        <v>1982</v>
      </c>
      <c r="C8" s="332">
        <v>55.4</v>
      </c>
      <c r="D8" s="344">
        <f t="shared" si="0"/>
        <v>9.4861660079051321E-2</v>
      </c>
    </row>
    <row r="9" spans="2:10" x14ac:dyDescent="0.25">
      <c r="B9" s="332">
        <v>1983</v>
      </c>
      <c r="C9" s="332">
        <v>59</v>
      </c>
      <c r="D9" s="344">
        <f t="shared" si="0"/>
        <v>6.4981949458483776E-2</v>
      </c>
    </row>
    <row r="10" spans="2:10" x14ac:dyDescent="0.25">
      <c r="B10" s="332">
        <v>1984</v>
      </c>
      <c r="C10" s="332">
        <v>61.6</v>
      </c>
      <c r="D10" s="344">
        <f t="shared" si="0"/>
        <v>4.4067796610169518E-2</v>
      </c>
    </row>
    <row r="11" spans="2:10" x14ac:dyDescent="0.25">
      <c r="B11" s="332">
        <v>1985</v>
      </c>
      <c r="C11" s="332">
        <v>64.400000000000006</v>
      </c>
      <c r="D11" s="344">
        <f t="shared" si="0"/>
        <v>4.5454545454545525E-2</v>
      </c>
    </row>
    <row r="12" spans="2:10" x14ac:dyDescent="0.25">
      <c r="B12" s="332">
        <v>1986</v>
      </c>
      <c r="C12" s="332">
        <v>66.599999999999994</v>
      </c>
      <c r="D12" s="344">
        <f t="shared" si="0"/>
        <v>3.4161490683229635E-2</v>
      </c>
    </row>
    <row r="13" spans="2:10" x14ac:dyDescent="0.25">
      <c r="B13" s="332">
        <v>1987</v>
      </c>
      <c r="C13" s="332">
        <v>68.900000000000006</v>
      </c>
      <c r="D13" s="344">
        <f t="shared" si="0"/>
        <v>3.4534534534534707E-2</v>
      </c>
    </row>
    <row r="14" spans="2:10" x14ac:dyDescent="0.25">
      <c r="B14" s="332">
        <v>1988</v>
      </c>
      <c r="C14" s="332">
        <v>71.5</v>
      </c>
      <c r="D14" s="344">
        <f t="shared" si="0"/>
        <v>3.7735849056603689E-2</v>
      </c>
    </row>
    <row r="15" spans="2:10" x14ac:dyDescent="0.25">
      <c r="B15" s="332">
        <v>1989</v>
      </c>
      <c r="C15" s="332">
        <v>74.900000000000006</v>
      </c>
      <c r="D15" s="344">
        <f t="shared" si="0"/>
        <v>4.7552447552447634E-2</v>
      </c>
    </row>
    <row r="16" spans="2:10" x14ac:dyDescent="0.25">
      <c r="B16" s="332">
        <v>1990</v>
      </c>
      <c r="C16" s="332">
        <v>78.7</v>
      </c>
      <c r="D16" s="344">
        <f t="shared" si="0"/>
        <v>5.0734312416555363E-2</v>
      </c>
    </row>
    <row r="17" spans="2:4" x14ac:dyDescent="0.25">
      <c r="B17" s="332">
        <v>1991</v>
      </c>
      <c r="C17" s="332">
        <v>83.3</v>
      </c>
      <c r="D17" s="344">
        <f t="shared" si="0"/>
        <v>5.8449809402795351E-2</v>
      </c>
    </row>
    <row r="18" spans="2:4" x14ac:dyDescent="0.25">
      <c r="B18" s="332">
        <v>1992</v>
      </c>
      <c r="C18" s="332">
        <v>84</v>
      </c>
      <c r="D18" s="344">
        <f t="shared" si="0"/>
        <v>8.4033613445378495E-3</v>
      </c>
    </row>
    <row r="19" spans="2:4" x14ac:dyDescent="0.25">
      <c r="B19" s="332">
        <v>1993</v>
      </c>
      <c r="C19" s="332">
        <v>84.8</v>
      </c>
      <c r="D19" s="344">
        <f t="shared" si="0"/>
        <v>9.52380952380949E-3</v>
      </c>
    </row>
    <row r="20" spans="2:4" x14ac:dyDescent="0.25">
      <c r="B20" s="332">
        <v>1994</v>
      </c>
      <c r="C20" s="332">
        <v>85.7</v>
      </c>
      <c r="D20" s="344">
        <f t="shared" si="0"/>
        <v>1.0613207547169878E-2</v>
      </c>
    </row>
    <row r="21" spans="2:4" x14ac:dyDescent="0.25">
      <c r="B21" s="332">
        <v>1995</v>
      </c>
      <c r="C21" s="332">
        <v>86.8</v>
      </c>
      <c r="D21" s="344">
        <f t="shared" si="0"/>
        <v>1.2835472578763061E-2</v>
      </c>
    </row>
    <row r="22" spans="2:4" x14ac:dyDescent="0.25">
      <c r="B22" s="332">
        <v>1996</v>
      </c>
      <c r="C22" s="332">
        <v>88.3</v>
      </c>
      <c r="D22" s="344">
        <f t="shared" si="0"/>
        <v>1.7281105990783412E-2</v>
      </c>
    </row>
    <row r="23" spans="2:4" x14ac:dyDescent="0.25">
      <c r="B23" s="332">
        <v>1997</v>
      </c>
      <c r="C23" s="332">
        <v>90</v>
      </c>
      <c r="D23" s="344">
        <f t="shared" si="0"/>
        <v>1.925254813137036E-2</v>
      </c>
    </row>
    <row r="24" spans="2:4" x14ac:dyDescent="0.25">
      <c r="B24" s="332">
        <v>1998</v>
      </c>
      <c r="C24" s="332">
        <v>90.7</v>
      </c>
      <c r="D24" s="344">
        <f t="shared" si="0"/>
        <v>7.7777777777778096E-3</v>
      </c>
    </row>
    <row r="25" spans="2:4" x14ac:dyDescent="0.25">
      <c r="B25" s="332">
        <v>1999</v>
      </c>
      <c r="C25" s="332">
        <v>92.2</v>
      </c>
      <c r="D25" s="344">
        <f t="shared" si="0"/>
        <v>1.65380374862183E-2</v>
      </c>
    </row>
    <row r="26" spans="2:4" x14ac:dyDescent="0.25">
      <c r="B26" s="332">
        <v>2000</v>
      </c>
      <c r="C26" s="332">
        <v>95.1</v>
      </c>
      <c r="D26" s="344">
        <f t="shared" si="0"/>
        <v>3.1453362255965199E-2</v>
      </c>
    </row>
    <row r="27" spans="2:4" x14ac:dyDescent="0.25">
      <c r="B27" s="332">
        <v>2001</v>
      </c>
      <c r="C27" s="332">
        <v>97</v>
      </c>
      <c r="D27" s="344">
        <f t="shared" si="0"/>
        <v>1.9978969505783446E-2</v>
      </c>
    </row>
    <row r="28" spans="2:4" x14ac:dyDescent="0.25">
      <c r="B28" s="332">
        <v>2002</v>
      </c>
      <c r="C28" s="332">
        <v>100</v>
      </c>
      <c r="D28" s="336">
        <f t="shared" si="0"/>
        <v>3.0927835051546393E-2</v>
      </c>
    </row>
    <row r="29" spans="2:4" x14ac:dyDescent="0.25">
      <c r="B29" s="332">
        <v>2003</v>
      </c>
      <c r="C29" s="332">
        <v>103.2</v>
      </c>
      <c r="D29" s="336">
        <f t="shared" si="0"/>
        <v>3.2000000000000028E-2</v>
      </c>
    </row>
    <row r="30" spans="2:4" x14ac:dyDescent="0.25">
      <c r="B30" s="332">
        <v>2004</v>
      </c>
      <c r="C30" s="332">
        <v>105</v>
      </c>
      <c r="D30" s="337">
        <f t="shared" si="0"/>
        <v>1.7441860465116251E-2</v>
      </c>
    </row>
    <row r="31" spans="2:4" x14ac:dyDescent="0.25">
      <c r="B31" s="332">
        <v>2005</v>
      </c>
      <c r="C31" s="332">
        <v>107.6</v>
      </c>
      <c r="D31" s="337">
        <f t="shared" si="0"/>
        <v>2.4761904761904707E-2</v>
      </c>
    </row>
    <row r="32" spans="2:4" x14ac:dyDescent="0.25">
      <c r="B32" s="332">
        <v>2006</v>
      </c>
      <c r="C32" s="332">
        <v>109.8</v>
      </c>
      <c r="D32" s="337">
        <f t="shared" si="0"/>
        <v>2.0446096654275121E-2</v>
      </c>
    </row>
    <row r="33" spans="2:4" x14ac:dyDescent="0.25">
      <c r="B33" s="332">
        <v>2007</v>
      </c>
      <c r="C33" s="332">
        <v>112</v>
      </c>
      <c r="D33" s="337">
        <f t="shared" si="0"/>
        <v>2.0036429872495473E-2</v>
      </c>
    </row>
    <row r="34" spans="2:4" x14ac:dyDescent="0.25">
      <c r="B34" s="332">
        <v>2008</v>
      </c>
      <c r="C34" s="332">
        <v>115.2</v>
      </c>
      <c r="D34" s="337">
        <f t="shared" si="0"/>
        <v>2.8571428571428598E-2</v>
      </c>
    </row>
    <row r="35" spans="2:4" x14ac:dyDescent="0.25">
      <c r="B35" s="332">
        <f>+B34+1</f>
        <v>2009</v>
      </c>
      <c r="C35" s="332">
        <v>115.3</v>
      </c>
      <c r="D35" s="337">
        <f t="shared" si="0"/>
        <v>8.6805555555550618E-4</v>
      </c>
    </row>
    <row r="36" spans="2:4" x14ac:dyDescent="0.25">
      <c r="B36" s="332">
        <v>2010</v>
      </c>
      <c r="C36" s="332">
        <v>117.6</v>
      </c>
      <c r="D36" s="337">
        <f t="shared" si="0"/>
        <v>1.9947961838681676E-2</v>
      </c>
    </row>
    <row r="37" spans="2:4" x14ac:dyDescent="0.25">
      <c r="B37" s="332">
        <v>2011</v>
      </c>
      <c r="C37" s="332">
        <v>121.7</v>
      </c>
      <c r="D37" s="337">
        <f t="shared" si="0"/>
        <v>3.4863945578231366E-2</v>
      </c>
    </row>
    <row r="38" spans="2:4" x14ac:dyDescent="0.25">
      <c r="B38" s="332">
        <v>2012</v>
      </c>
      <c r="C38" s="332">
        <v>123.8</v>
      </c>
      <c r="D38" s="337">
        <f t="shared" si="0"/>
        <v>1.7255546425636765E-2</v>
      </c>
    </row>
    <row r="39" spans="2:4" x14ac:dyDescent="0.25">
      <c r="B39" s="332">
        <v>2013</v>
      </c>
      <c r="C39" s="332">
        <v>125.2</v>
      </c>
      <c r="D39" s="337">
        <f t="shared" si="0"/>
        <v>1.130856219709213E-2</v>
      </c>
    </row>
    <row r="40" spans="2:4" x14ac:dyDescent="0.25">
      <c r="B40" s="332">
        <v>2014</v>
      </c>
      <c r="C40" s="332">
        <v>127.5</v>
      </c>
      <c r="D40" s="337">
        <f t="shared" si="0"/>
        <v>1.8370607028753972E-2</v>
      </c>
    </row>
    <row r="41" spans="2:4" x14ac:dyDescent="0.25">
      <c r="B41" s="332">
        <v>2015</v>
      </c>
      <c r="C41" s="332">
        <v>128.19999999999999</v>
      </c>
      <c r="D41" s="337">
        <f t="shared" si="0"/>
        <v>5.4901960784312833E-3</v>
      </c>
    </row>
    <row r="42" spans="2:4" x14ac:dyDescent="0.25">
      <c r="B42" s="332">
        <v>2016</v>
      </c>
      <c r="C42" s="332">
        <v>129.80000000000001</v>
      </c>
      <c r="D42" s="337">
        <f t="shared" si="0"/>
        <v>1.2480499219968978E-2</v>
      </c>
    </row>
    <row r="43" spans="2:4" x14ac:dyDescent="0.25">
      <c r="B43" s="332">
        <v>2017</v>
      </c>
      <c r="C43" s="332">
        <v>131.19999999999999</v>
      </c>
      <c r="D43" s="337">
        <f t="shared" si="0"/>
        <v>1.0785824345146203E-2</v>
      </c>
    </row>
    <row r="44" spans="2:4" x14ac:dyDescent="0.25">
      <c r="B44" s="332">
        <v>2018</v>
      </c>
      <c r="C44" s="335">
        <v>134</v>
      </c>
      <c r="D44" s="337">
        <f t="shared" si="0"/>
        <v>2.1341463414634235E-2</v>
      </c>
    </row>
    <row r="45" spans="2:4" x14ac:dyDescent="0.25">
      <c r="B45" s="332">
        <v>2019</v>
      </c>
      <c r="C45" s="335">
        <v>136</v>
      </c>
      <c r="D45" s="338">
        <f t="shared" si="0"/>
        <v>1.4925373134328358E-2</v>
      </c>
    </row>
    <row r="46" spans="2:4" x14ac:dyDescent="0.25">
      <c r="B46" s="332">
        <v>2020</v>
      </c>
      <c r="C46" s="335">
        <v>136.69999999999999</v>
      </c>
      <c r="D46" s="338">
        <f t="shared" si="0"/>
        <v>5.1470588235293284E-3</v>
      </c>
    </row>
    <row r="47" spans="2:4" x14ac:dyDescent="0.25">
      <c r="B47" s="332">
        <v>2021</v>
      </c>
      <c r="C47" s="335">
        <v>142</v>
      </c>
      <c r="D47" s="338">
        <f t="shared" si="0"/>
        <v>3.8771031455742587E-2</v>
      </c>
    </row>
    <row r="48" spans="2:4" x14ac:dyDescent="0.25">
      <c r="B48" s="332">
        <v>2022</v>
      </c>
      <c r="C48" s="335">
        <v>152.4</v>
      </c>
      <c r="D48" s="338">
        <f>+(C48-C47)/C47</f>
        <v>7.3239436619718351E-2</v>
      </c>
    </row>
    <row r="49" spans="2:4" x14ac:dyDescent="0.25">
      <c r="B49" s="332">
        <v>2023</v>
      </c>
      <c r="C49" s="335">
        <v>158.9</v>
      </c>
      <c r="D49" s="338">
        <f>+(C49-C48)/C48</f>
        <v>4.26509186351706E-2</v>
      </c>
    </row>
    <row r="50" spans="2:4" x14ac:dyDescent="0.25">
      <c r="B50" s="332">
        <v>2024</v>
      </c>
      <c r="C50" s="335">
        <v>163.1</v>
      </c>
      <c r="D50" s="338">
        <f>+(C50-C49)/C49</f>
        <v>2.6431718061673937E-2</v>
      </c>
    </row>
    <row r="52" spans="2:4" x14ac:dyDescent="0.25">
      <c r="B52" s="317" t="s">
        <v>200</v>
      </c>
      <c r="D52" s="345">
        <f>+AVERAGE(D30:D49)</f>
        <v>2.193521003379207E-2</v>
      </c>
    </row>
    <row r="53" spans="2:4" x14ac:dyDescent="0.25">
      <c r="B53" s="317" t="s">
        <v>201</v>
      </c>
      <c r="D53" s="345">
        <f>+AVERAGE(D45:D49)</f>
        <v>3.4946763733697844E-2</v>
      </c>
    </row>
    <row r="54" spans="2:4" x14ac:dyDescent="0.25">
      <c r="D54" s="345"/>
    </row>
    <row r="55" spans="2:4" x14ac:dyDescent="0.25">
      <c r="B55" s="317" t="s">
        <v>202</v>
      </c>
      <c r="D55" s="346">
        <f>+AVERAGE(D52:D53)</f>
        <v>2.8440986883744957E-2</v>
      </c>
    </row>
    <row r="56" spans="2:4" x14ac:dyDescent="0.25">
      <c r="D56" s="341"/>
    </row>
  </sheetData>
  <hyperlinks>
    <hyperlink ref="F7" r:id="rId1" display="https://www150.statcan.gc.ca/t1/tbl1/en/tv.action?pid=1810000501&amp;pickMembers%5B0%5D=1.8&amp;cubeTimeFrame.startYear=2017&amp;cubeTimeFrame.endYear=2021&amp;referencePeriods=20170101%2C20210101" xr:uid="{D3E06BCC-0395-4E61-AA5E-CA7C8ED1FAD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DB953-E254-471E-B6DC-CA9D7314F68A}">
  <sheetPr>
    <tabColor theme="6" tint="-0.249977111117893"/>
  </sheetPr>
  <dimension ref="A1:J24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14" style="302" customWidth="1"/>
    <col min="2" max="2" width="8.85546875" style="302"/>
    <col min="3" max="3" width="10.28515625" style="302" bestFit="1" customWidth="1"/>
    <col min="4" max="4" width="8.85546875" style="302"/>
    <col min="5" max="6" width="10" style="302" customWidth="1"/>
    <col min="7" max="7" width="8.28515625" style="302" customWidth="1"/>
    <col min="8" max="8" width="12.5703125" style="302" customWidth="1"/>
    <col min="9" max="9" width="10.28515625" style="302" customWidth="1"/>
    <col min="10" max="16384" width="8.85546875" style="302"/>
  </cols>
  <sheetData>
    <row r="1" spans="1:8" s="300" customFormat="1" ht="28.15" customHeight="1" x14ac:dyDescent="0.35">
      <c r="A1" s="299" t="s">
        <v>259</v>
      </c>
    </row>
    <row r="2" spans="1:8" ht="28.15" customHeight="1" x14ac:dyDescent="0.25">
      <c r="A2" s="301"/>
    </row>
    <row r="4" spans="1:8" x14ac:dyDescent="0.2">
      <c r="A4" s="303" t="s">
        <v>260</v>
      </c>
      <c r="H4" s="304">
        <f>ROUND('Overnight Lending Rates'!L52,5)</f>
        <v>2.087E-2</v>
      </c>
    </row>
    <row r="5" spans="1:8" ht="12.75" customHeight="1" x14ac:dyDescent="0.2">
      <c r="A5" s="450" t="s">
        <v>261</v>
      </c>
      <c r="B5" s="450"/>
      <c r="C5" s="450"/>
      <c r="D5" s="450"/>
      <c r="E5" s="450"/>
      <c r="F5" s="450"/>
      <c r="G5" s="450"/>
      <c r="H5" s="450"/>
    </row>
    <row r="6" spans="1:8" ht="15" customHeight="1" x14ac:dyDescent="0.2">
      <c r="A6" s="450"/>
      <c r="B6" s="450"/>
      <c r="C6" s="450"/>
      <c r="D6" s="450"/>
      <c r="E6" s="450"/>
      <c r="F6" s="450"/>
      <c r="G6" s="450"/>
      <c r="H6" s="450"/>
    </row>
    <row r="7" spans="1:8" x14ac:dyDescent="0.2">
      <c r="A7" s="305"/>
    </row>
    <row r="8" spans="1:8" x14ac:dyDescent="0.2">
      <c r="A8" s="303" t="s">
        <v>262</v>
      </c>
      <c r="H8" s="304">
        <f>ROUND('BofC Bonds'!D13,5)</f>
        <v>2.349E-2</v>
      </c>
    </row>
    <row r="9" spans="1:8" ht="31.5" customHeight="1" x14ac:dyDescent="0.2">
      <c r="A9" s="451" t="s">
        <v>935</v>
      </c>
      <c r="B9" s="452"/>
      <c r="C9" s="452"/>
      <c r="D9" s="452"/>
      <c r="E9" s="452"/>
      <c r="F9" s="452"/>
      <c r="G9" s="452"/>
      <c r="H9" s="452"/>
    </row>
    <row r="10" spans="1:8" x14ac:dyDescent="0.2">
      <c r="H10" s="306"/>
    </row>
    <row r="11" spans="1:8" x14ac:dyDescent="0.2">
      <c r="A11" s="303" t="s">
        <v>263</v>
      </c>
      <c r="H11" s="304">
        <f>ROUND('BofC Bonds'!D12,5)</f>
        <v>1.5990000000000001E-2</v>
      </c>
    </row>
    <row r="12" spans="1:8" ht="27" customHeight="1" x14ac:dyDescent="0.2">
      <c r="A12" s="451" t="s">
        <v>935</v>
      </c>
      <c r="B12" s="452"/>
      <c r="C12" s="452"/>
      <c r="D12" s="452"/>
      <c r="E12" s="452"/>
      <c r="F12" s="452"/>
      <c r="G12" s="452"/>
      <c r="H12" s="452"/>
    </row>
    <row r="14" spans="1:8" x14ac:dyDescent="0.2">
      <c r="A14" s="303" t="s">
        <v>264</v>
      </c>
      <c r="B14" s="303"/>
      <c r="C14" s="303"/>
      <c r="D14" s="303"/>
      <c r="G14" s="306"/>
      <c r="H14" s="304">
        <f>ROUND('Non-Res Construction'!H36,5)</f>
        <v>4.8169999999999998E-2</v>
      </c>
    </row>
    <row r="15" spans="1:8" x14ac:dyDescent="0.2">
      <c r="A15" s="305" t="s">
        <v>265</v>
      </c>
      <c r="H15" s="306"/>
    </row>
    <row r="16" spans="1:8" x14ac:dyDescent="0.2">
      <c r="A16" s="305"/>
    </row>
    <row r="17" spans="1:10" x14ac:dyDescent="0.2">
      <c r="A17" s="303" t="s">
        <v>266</v>
      </c>
      <c r="G17" s="306"/>
      <c r="H17" s="304">
        <f>ROUND(CPI!D55,5)</f>
        <v>2.844E-2</v>
      </c>
    </row>
    <row r="18" spans="1:10" x14ac:dyDescent="0.2">
      <c r="A18" s="305" t="s">
        <v>267</v>
      </c>
    </row>
    <row r="19" spans="1:10" x14ac:dyDescent="0.2">
      <c r="A19" s="305"/>
    </row>
    <row r="20" spans="1:10" x14ac:dyDescent="0.2">
      <c r="A20" s="307" t="s">
        <v>268</v>
      </c>
      <c r="H20" s="308">
        <v>3.857E-2</v>
      </c>
      <c r="J20" s="45" t="s">
        <v>934</v>
      </c>
    </row>
    <row r="21" spans="1:10" x14ac:dyDescent="0.2">
      <c r="A21" s="307"/>
    </row>
    <row r="22" spans="1:10" x14ac:dyDescent="0.2">
      <c r="A22" s="303" t="s">
        <v>269</v>
      </c>
      <c r="H22" s="309" t="s">
        <v>270</v>
      </c>
    </row>
    <row r="23" spans="1:10" x14ac:dyDescent="0.2">
      <c r="A23" s="303"/>
      <c r="H23" s="310"/>
    </row>
    <row r="24" spans="1:10" x14ac:dyDescent="0.2">
      <c r="A24" s="303" t="s">
        <v>271</v>
      </c>
      <c r="H24" s="309" t="s">
        <v>270</v>
      </c>
    </row>
  </sheetData>
  <mergeCells count="3">
    <mergeCell ref="A5:H6"/>
    <mergeCell ref="A9:H9"/>
    <mergeCell ref="A12:H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BAA49-3863-4846-BCE9-25F76A639A60}">
  <dimension ref="B2:E18"/>
  <sheetViews>
    <sheetView tabSelected="1" workbookViewId="0">
      <selection activeCell="A2" sqref="A2"/>
    </sheetView>
  </sheetViews>
  <sheetFormatPr defaultRowHeight="12.75" x14ac:dyDescent="0.2"/>
  <cols>
    <col min="2" max="2" width="34.5703125" bestFit="1" customWidth="1"/>
    <col min="3" max="3" width="15.5703125" customWidth="1"/>
    <col min="4" max="4" width="13.28515625" customWidth="1"/>
    <col min="5" max="5" width="17.28515625" customWidth="1"/>
  </cols>
  <sheetData>
    <row r="2" spans="2:5" ht="13.5" thickBot="1" x14ac:dyDescent="0.25"/>
    <row r="3" spans="2:5" x14ac:dyDescent="0.2">
      <c r="B3" s="281"/>
      <c r="C3" s="294"/>
      <c r="D3" s="297"/>
      <c r="E3" s="284"/>
    </row>
    <row r="4" spans="2:5" ht="63.75" x14ac:dyDescent="0.2">
      <c r="B4" s="285"/>
      <c r="C4" s="295" t="s">
        <v>285</v>
      </c>
      <c r="D4" s="298" t="s">
        <v>286</v>
      </c>
      <c r="E4" s="296" t="s">
        <v>287</v>
      </c>
    </row>
    <row r="5" spans="2:5" x14ac:dyDescent="0.2">
      <c r="B5" s="259"/>
      <c r="C5" s="118">
        <v>2023</v>
      </c>
      <c r="D5" s="118">
        <v>2024</v>
      </c>
      <c r="E5" s="260">
        <v>2025</v>
      </c>
    </row>
    <row r="6" spans="2:5" x14ac:dyDescent="0.2">
      <c r="B6" s="259" t="s">
        <v>288</v>
      </c>
      <c r="C6" s="119">
        <v>1921.82</v>
      </c>
      <c r="D6" s="119">
        <v>3383.8318731283962</v>
      </c>
      <c r="E6" s="261">
        <f>'2025 Water - Charge'!G40</f>
        <v>6806.9874162405367</v>
      </c>
    </row>
    <row r="7" spans="2:5" x14ac:dyDescent="0.2">
      <c r="B7" s="259" t="s">
        <v>289</v>
      </c>
      <c r="C7" s="119">
        <v>1290.77</v>
      </c>
      <c r="D7" s="119">
        <v>2272.7228998623555</v>
      </c>
      <c r="E7" s="261">
        <f>'2025 Water - Charge'!G42</f>
        <v>4571.8572198630463</v>
      </c>
    </row>
    <row r="8" spans="2:5" ht="13.5" thickBot="1" x14ac:dyDescent="0.25">
      <c r="B8" s="262" t="s">
        <v>290</v>
      </c>
      <c r="C8" s="263">
        <v>9.49</v>
      </c>
      <c r="D8" s="263">
        <v>16.700545809196534</v>
      </c>
      <c r="E8" s="264">
        <f>'2025 Water - Charge'!G49</f>
        <v>33.595169449849301</v>
      </c>
    </row>
    <row r="9" spans="2:5" x14ac:dyDescent="0.2">
      <c r="B9" s="290" t="s">
        <v>291</v>
      </c>
      <c r="C9" s="291">
        <v>6126.84</v>
      </c>
      <c r="D9" s="291">
        <v>6627.3339345897075</v>
      </c>
      <c r="E9" s="292">
        <f>'2025 Wastewater - Charge'!E40</f>
        <v>10766.306319167814</v>
      </c>
    </row>
    <row r="10" spans="2:5" x14ac:dyDescent="0.2">
      <c r="B10" s="259" t="s">
        <v>292</v>
      </c>
      <c r="C10" s="119">
        <v>4115.04</v>
      </c>
      <c r="D10" s="119">
        <v>4451.1944336796532</v>
      </c>
      <c r="E10" s="261">
        <f>'2025 Wastewater - Charge'!E42</f>
        <v>7231.1012591425606</v>
      </c>
    </row>
    <row r="11" spans="2:5" ht="13.5" thickBot="1" x14ac:dyDescent="0.25">
      <c r="B11" s="262" t="s">
        <v>293</v>
      </c>
      <c r="C11" s="263">
        <v>30.24</v>
      </c>
      <c r="D11" s="263">
        <v>32.721633000779804</v>
      </c>
      <c r="E11" s="264">
        <f>'2025 Wastewater - Charge'!E49</f>
        <v>53.157291850210022</v>
      </c>
    </row>
    <row r="12" spans="2:5" x14ac:dyDescent="0.2">
      <c r="B12" s="265" t="s">
        <v>294</v>
      </c>
      <c r="C12" s="266"/>
      <c r="D12" s="267">
        <f>D6/C6-1</f>
        <v>0.76074339591033313</v>
      </c>
      <c r="E12" s="268">
        <f>E6/D6-1</f>
        <v>1.0116210472204665</v>
      </c>
    </row>
    <row r="13" spans="2:5" ht="13.5" thickBot="1" x14ac:dyDescent="0.25">
      <c r="B13" s="269" t="s">
        <v>295</v>
      </c>
      <c r="C13" s="270"/>
      <c r="D13" s="271"/>
      <c r="E13" s="272">
        <f>E7/C7-1</f>
        <v>2.5419611703580394</v>
      </c>
    </row>
    <row r="14" spans="2:5" x14ac:dyDescent="0.2">
      <c r="B14" s="273" t="s">
        <v>296</v>
      </c>
      <c r="C14" s="274"/>
      <c r="D14" s="275">
        <f>D9/C9-1</f>
        <v>8.1688755474226049E-2</v>
      </c>
      <c r="E14" s="276">
        <f>E9/D9-1</f>
        <v>0.62453053149710436</v>
      </c>
    </row>
    <row r="15" spans="2:5" ht="13.5" thickBot="1" x14ac:dyDescent="0.25">
      <c r="B15" s="277" t="s">
        <v>297</v>
      </c>
      <c r="C15" s="278"/>
      <c r="D15" s="279"/>
      <c r="E15" s="280">
        <f>E9/C9-1</f>
        <v>0.75723640884498589</v>
      </c>
    </row>
    <row r="18" spans="2:2" x14ac:dyDescent="0.2">
      <c r="B18" s="45"/>
    </row>
  </sheetData>
  <pageMargins left="0.7" right="0.7" top="0.75" bottom="0.75" header="0.3" footer="0.3"/>
  <ignoredErrors>
    <ignoredError sqref="E1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06AFB-72E8-4567-9EE5-5486C15D2E6D}">
  <sheetPr>
    <tabColor rgb="FFFA90E6"/>
    <pageSetUpPr fitToPage="1"/>
  </sheetPr>
  <dimension ref="A1:Q98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16" sqref="I16"/>
    </sheetView>
  </sheetViews>
  <sheetFormatPr defaultRowHeight="12.75" x14ac:dyDescent="0.2"/>
  <cols>
    <col min="1" max="1" width="15.7109375" customWidth="1"/>
    <col min="2" max="2" width="15.28515625" style="193" bestFit="1" customWidth="1"/>
    <col min="3" max="3" width="9" style="194" bestFit="1" customWidth="1"/>
    <col min="4" max="4" width="13.7109375" style="81" bestFit="1" customWidth="1"/>
    <col min="5" max="5" width="17.7109375" bestFit="1" customWidth="1"/>
    <col min="6" max="6" width="17.7109375" style="205" bestFit="1" customWidth="1"/>
    <col min="7" max="7" width="16.7109375" style="205" bestFit="1" customWidth="1"/>
    <col min="8" max="8" width="15.28515625" style="205" bestFit="1" customWidth="1"/>
    <col min="9" max="9" width="17.28515625" style="198" bestFit="1" customWidth="1"/>
    <col min="10" max="10" width="14" style="198" bestFit="1" customWidth="1"/>
    <col min="11" max="11" width="18" style="199" bestFit="1" customWidth="1"/>
    <col min="12" max="12" width="18.28515625" style="199" bestFit="1" customWidth="1"/>
    <col min="14" max="14" width="14.28515625" bestFit="1" customWidth="1"/>
    <col min="15" max="15" width="12.7109375" bestFit="1" customWidth="1"/>
    <col min="16" max="16" width="13.42578125" customWidth="1"/>
    <col min="17" max="17" width="17" customWidth="1"/>
  </cols>
  <sheetData>
    <row r="1" spans="1:15" s="6" customFormat="1" ht="23.25" x14ac:dyDescent="0.35">
      <c r="A1" s="1" t="s">
        <v>298</v>
      </c>
      <c r="B1" s="175"/>
      <c r="C1" s="2"/>
      <c r="D1" s="3"/>
      <c r="E1" s="5"/>
      <c r="F1" s="182"/>
      <c r="G1" s="183"/>
      <c r="H1" s="183"/>
      <c r="I1" s="184"/>
      <c r="J1" s="185"/>
      <c r="K1" s="186"/>
      <c r="L1" s="186"/>
    </row>
    <row r="2" spans="1:15" s="15" customFormat="1" ht="18" x14ac:dyDescent="0.25">
      <c r="A2" s="10" t="s">
        <v>299</v>
      </c>
      <c r="B2" s="177"/>
      <c r="C2" s="20"/>
      <c r="D2" s="16"/>
      <c r="E2" s="23"/>
      <c r="F2" s="187"/>
      <c r="G2" s="188"/>
      <c r="H2" s="188"/>
      <c r="I2" s="189"/>
      <c r="J2" s="190"/>
      <c r="K2" s="191"/>
      <c r="L2" s="191"/>
    </row>
    <row r="3" spans="1:15" s="15" customFormat="1" ht="18" x14ac:dyDescent="0.25">
      <c r="A3" s="10" t="s">
        <v>300</v>
      </c>
      <c r="B3" s="177"/>
      <c r="C3" s="20"/>
      <c r="D3" s="16"/>
      <c r="E3" s="23"/>
      <c r="F3" s="187"/>
      <c r="G3" s="188"/>
      <c r="H3" s="188"/>
      <c r="I3" s="189"/>
      <c r="J3" s="190"/>
      <c r="K3" s="191"/>
      <c r="L3" s="191"/>
    </row>
    <row r="4" spans="1:15" s="15" customFormat="1" ht="18" x14ac:dyDescent="0.25">
      <c r="A4" s="10" t="s">
        <v>301</v>
      </c>
      <c r="B4" s="177"/>
      <c r="C4" s="20"/>
      <c r="D4" s="16"/>
      <c r="E4" s="23"/>
      <c r="F4" s="188"/>
      <c r="G4" s="188"/>
      <c r="H4" s="188"/>
      <c r="I4" s="189"/>
      <c r="J4" s="189"/>
      <c r="K4" s="191"/>
      <c r="L4" s="191"/>
      <c r="N4" s="192" t="s">
        <v>302</v>
      </c>
    </row>
    <row r="5" spans="1:15" x14ac:dyDescent="0.2">
      <c r="E5" s="195" t="s">
        <v>303</v>
      </c>
      <c r="F5" s="195" t="s">
        <v>303</v>
      </c>
      <c r="G5" s="196" t="s">
        <v>304</v>
      </c>
      <c r="H5" s="196" t="s">
        <v>304</v>
      </c>
      <c r="I5" s="197" t="s">
        <v>305</v>
      </c>
      <c r="N5" s="179">
        <f>'Financial Assumptions'!H8</f>
        <v>2.349E-2</v>
      </c>
      <c r="O5" s="200"/>
    </row>
    <row r="6" spans="1:15" x14ac:dyDescent="0.2">
      <c r="A6" s="34"/>
      <c r="B6" s="201"/>
      <c r="C6" s="202"/>
      <c r="D6" s="131" t="s">
        <v>306</v>
      </c>
      <c r="E6" s="203" t="s">
        <v>307</v>
      </c>
      <c r="F6" s="204" t="s">
        <v>308</v>
      </c>
      <c r="H6" s="204" t="s">
        <v>308</v>
      </c>
      <c r="J6" s="206" t="s">
        <v>309</v>
      </c>
      <c r="K6" s="206" t="s">
        <v>308</v>
      </c>
      <c r="L6" s="206" t="s">
        <v>248</v>
      </c>
      <c r="M6" s="45"/>
    </row>
    <row r="7" spans="1:15" x14ac:dyDescent="0.2">
      <c r="A7" s="39" t="s">
        <v>168</v>
      </c>
      <c r="B7" s="207" t="s">
        <v>310</v>
      </c>
      <c r="C7" s="208" t="s">
        <v>311</v>
      </c>
      <c r="D7" s="42" t="s">
        <v>312</v>
      </c>
      <c r="E7" s="209" t="s">
        <v>313</v>
      </c>
      <c r="F7" s="210" t="s">
        <v>314</v>
      </c>
      <c r="G7" s="210" t="s">
        <v>315</v>
      </c>
      <c r="H7" s="210" t="s">
        <v>316</v>
      </c>
      <c r="I7" s="211" t="s">
        <v>317</v>
      </c>
      <c r="J7" s="211" t="s">
        <v>318</v>
      </c>
      <c r="K7" s="212" t="s">
        <v>319</v>
      </c>
      <c r="L7" s="212" t="s">
        <v>320</v>
      </c>
      <c r="M7" s="45"/>
      <c r="N7" s="192" t="s">
        <v>263</v>
      </c>
    </row>
    <row r="8" spans="1:15" s="213" customFormat="1" ht="14.25" x14ac:dyDescent="0.2">
      <c r="A8" s="214">
        <v>2014</v>
      </c>
      <c r="B8" s="215"/>
      <c r="C8" s="216"/>
      <c r="D8" s="217"/>
      <c r="E8" s="227">
        <v>5725274.6600000001</v>
      </c>
      <c r="F8" s="229"/>
      <c r="G8" s="229"/>
      <c r="H8" s="229"/>
      <c r="I8" s="228"/>
      <c r="J8" s="228"/>
      <c r="K8" s="229"/>
      <c r="L8" s="228"/>
      <c r="M8" s="221"/>
      <c r="N8" s="179">
        <f>'Financial Assumptions'!H11</f>
        <v>1.5990000000000001E-2</v>
      </c>
    </row>
    <row r="9" spans="1:15" s="213" customFormat="1" ht="14.25" x14ac:dyDescent="0.2">
      <c r="A9" s="71">
        <v>2014</v>
      </c>
      <c r="B9" s="222"/>
      <c r="C9" s="223"/>
      <c r="D9" s="137"/>
      <c r="E9" s="200">
        <f>SUBTOTAL(9,E8)</f>
        <v>5725274.6600000001</v>
      </c>
      <c r="F9" s="229">
        <f>E9</f>
        <v>5725274.6600000001</v>
      </c>
      <c r="G9" s="229"/>
      <c r="H9" s="229">
        <f>G9</f>
        <v>0</v>
      </c>
      <c r="I9" s="228">
        <f>F9-H9</f>
        <v>5725274.6600000001</v>
      </c>
      <c r="J9" s="228"/>
      <c r="K9" s="219">
        <f>(J9)</f>
        <v>0</v>
      </c>
      <c r="L9" s="228">
        <f>I9+K9</f>
        <v>5725274.6600000001</v>
      </c>
      <c r="M9" s="221"/>
    </row>
    <row r="10" spans="1:15" x14ac:dyDescent="0.2">
      <c r="A10" s="214">
        <v>2015</v>
      </c>
      <c r="B10" s="215"/>
      <c r="C10" s="216"/>
      <c r="D10" s="217"/>
      <c r="E10" s="227">
        <v>4400269.16</v>
      </c>
      <c r="F10" s="229"/>
      <c r="G10" s="229"/>
      <c r="H10" s="229"/>
      <c r="I10" s="228"/>
      <c r="J10" s="228"/>
      <c r="K10" s="229"/>
      <c r="L10" s="228"/>
      <c r="M10" s="45"/>
    </row>
    <row r="11" spans="1:15" x14ac:dyDescent="0.2">
      <c r="A11" s="71">
        <v>2015</v>
      </c>
      <c r="B11" s="222"/>
      <c r="C11" s="223"/>
      <c r="D11" s="137"/>
      <c r="E11" s="200">
        <f>SUBTOTAL(9,E10)</f>
        <v>4400269.16</v>
      </c>
      <c r="F11" s="229">
        <f>F9+E11</f>
        <v>10125543.82</v>
      </c>
      <c r="G11" s="229">
        <f>'2025 Wastewater - Phase Costs'!S9</f>
        <v>6037557.0300000003</v>
      </c>
      <c r="H11" s="229">
        <f>G11</f>
        <v>6037557.0300000003</v>
      </c>
      <c r="I11" s="228">
        <f>F11-H11</f>
        <v>4087986.79</v>
      </c>
      <c r="J11" s="228"/>
      <c r="K11" s="219">
        <f>(1+(IF(L9&gt;0,$N$8,#REF!)))*K9+J11</f>
        <v>0</v>
      </c>
      <c r="L11" s="228">
        <f>I11+K11</f>
        <v>4087986.79</v>
      </c>
      <c r="M11" s="45"/>
    </row>
    <row r="12" spans="1:15" x14ac:dyDescent="0.2">
      <c r="A12" s="214">
        <v>2016</v>
      </c>
      <c r="B12" s="215"/>
      <c r="C12" s="216"/>
      <c r="D12" s="217"/>
      <c r="E12" s="227">
        <v>8785828.6300000008</v>
      </c>
      <c r="F12" s="229"/>
      <c r="G12" s="229"/>
      <c r="H12" s="229"/>
      <c r="I12" s="254"/>
      <c r="J12" s="228"/>
      <c r="K12" s="229"/>
      <c r="L12" s="228"/>
      <c r="M12" s="45"/>
    </row>
    <row r="13" spans="1:15" x14ac:dyDescent="0.2">
      <c r="A13" s="71">
        <v>2016</v>
      </c>
      <c r="B13" s="222"/>
      <c r="C13" s="223"/>
      <c r="D13" s="137"/>
      <c r="E13" s="200">
        <f>SUBTOTAL(9,E12)</f>
        <v>8785828.6300000008</v>
      </c>
      <c r="F13" s="229">
        <f>F11+E13</f>
        <v>18911372.450000003</v>
      </c>
      <c r="G13" s="229"/>
      <c r="H13" s="229">
        <f>G13+H11</f>
        <v>6037557.0300000003</v>
      </c>
      <c r="I13" s="228">
        <f>F13-H13</f>
        <v>12873815.420000002</v>
      </c>
      <c r="J13" s="228"/>
      <c r="K13" s="219">
        <f>(1+(IF(L11&gt;0,$N$8,#REF!)))*K11+J13</f>
        <v>0</v>
      </c>
      <c r="L13" s="228">
        <f>I13+K13</f>
        <v>12873815.420000002</v>
      </c>
      <c r="M13" s="45"/>
    </row>
    <row r="14" spans="1:15" x14ac:dyDescent="0.2">
      <c r="A14" s="214">
        <v>2017</v>
      </c>
      <c r="B14" s="215"/>
      <c r="C14" s="216"/>
      <c r="D14" s="217"/>
      <c r="E14" s="227">
        <v>10355906.560000001</v>
      </c>
      <c r="F14" s="229"/>
      <c r="G14" s="229"/>
      <c r="H14" s="229"/>
      <c r="I14" s="228"/>
      <c r="J14" s="228"/>
      <c r="K14" s="229"/>
      <c r="L14" s="228"/>
      <c r="M14" s="45"/>
    </row>
    <row r="15" spans="1:15" x14ac:dyDescent="0.2">
      <c r="A15" s="71">
        <v>2017</v>
      </c>
      <c r="B15" s="222"/>
      <c r="C15" s="223"/>
      <c r="D15" s="137"/>
      <c r="E15" s="200">
        <f>SUBTOTAL(9,E14)</f>
        <v>10355906.560000001</v>
      </c>
      <c r="F15" s="229">
        <f>F13+E15</f>
        <v>29267279.010000005</v>
      </c>
      <c r="G15" s="229"/>
      <c r="H15" s="229">
        <f>G15+H13</f>
        <v>6037557.0300000003</v>
      </c>
      <c r="I15" s="228">
        <f>F15-H15</f>
        <v>23229721.980000004</v>
      </c>
      <c r="J15" s="228"/>
      <c r="K15" s="219">
        <f>(1+(IF(L13&gt;0,$N$8,#REF!)))*K13+J15</f>
        <v>0</v>
      </c>
      <c r="L15" s="228">
        <f>I15+K15</f>
        <v>23229721.980000004</v>
      </c>
      <c r="M15" s="45"/>
    </row>
    <row r="16" spans="1:15" x14ac:dyDescent="0.2">
      <c r="A16" s="214">
        <v>2018</v>
      </c>
      <c r="B16" s="215"/>
      <c r="C16" s="216"/>
      <c r="D16" s="217"/>
      <c r="E16" s="227">
        <v>12773573.119999999</v>
      </c>
      <c r="F16" s="229"/>
      <c r="G16" s="229"/>
      <c r="H16" s="229"/>
      <c r="I16" s="228"/>
      <c r="J16" s="228"/>
      <c r="K16" s="229"/>
      <c r="L16" s="228"/>
      <c r="M16" s="45"/>
    </row>
    <row r="17" spans="1:17" x14ac:dyDescent="0.2">
      <c r="A17" s="71">
        <v>2018</v>
      </c>
      <c r="B17" s="222"/>
      <c r="C17" s="223"/>
      <c r="D17" s="137"/>
      <c r="E17" s="200">
        <f>SUBTOTAL(9,E16)</f>
        <v>12773573.119999999</v>
      </c>
      <c r="F17" s="229">
        <f>F15+E17</f>
        <v>42040852.130000003</v>
      </c>
      <c r="G17" s="229"/>
      <c r="H17" s="229">
        <f>G17+H15</f>
        <v>6037557.0300000003</v>
      </c>
      <c r="I17" s="229">
        <f>F17-H17</f>
        <v>36003295.100000001</v>
      </c>
      <c r="J17" s="229"/>
      <c r="K17" s="219">
        <f>(1+(IF(L15&gt;0,$N$8,#REF!)))*K15+J17</f>
        <v>0</v>
      </c>
      <c r="L17" s="229">
        <f>I17+K17</f>
        <v>36003295.100000001</v>
      </c>
      <c r="M17" s="45"/>
    </row>
    <row r="18" spans="1:17" x14ac:dyDescent="0.2">
      <c r="A18" s="214">
        <v>2019</v>
      </c>
      <c r="B18" s="215"/>
      <c r="C18" s="216"/>
      <c r="D18" s="217"/>
      <c r="E18" s="227">
        <v>11339531.77</v>
      </c>
      <c r="F18" s="229"/>
      <c r="G18" s="229"/>
      <c r="H18" s="229"/>
      <c r="I18" s="254"/>
      <c r="J18" s="229"/>
      <c r="K18" s="229"/>
      <c r="L18" s="229"/>
      <c r="M18" s="45"/>
    </row>
    <row r="19" spans="1:17" x14ac:dyDescent="0.2">
      <c r="A19" s="71">
        <v>2019</v>
      </c>
      <c r="B19" s="222"/>
      <c r="C19" s="223"/>
      <c r="D19" s="137"/>
      <c r="E19" s="200">
        <f>SUBTOTAL(9,E18:E18)</f>
        <v>11339531.77</v>
      </c>
      <c r="F19" s="229">
        <f>F17+E19</f>
        <v>53380383.900000006</v>
      </c>
      <c r="G19" s="229">
        <f>'2025 Wastewater - Phase Costs'!S19</f>
        <v>11643615.639999999</v>
      </c>
      <c r="H19" s="229">
        <f>G19+H17</f>
        <v>17681172.669999998</v>
      </c>
      <c r="I19" s="229">
        <f>F19-H19</f>
        <v>35699211.230000004</v>
      </c>
      <c r="J19" s="229">
        <v>528825.26</v>
      </c>
      <c r="K19" s="219">
        <f>K17+J19</f>
        <v>528825.26</v>
      </c>
      <c r="L19" s="229">
        <f>I19+K19</f>
        <v>36228036.490000002</v>
      </c>
      <c r="M19" s="45"/>
    </row>
    <row r="20" spans="1:17" x14ac:dyDescent="0.2">
      <c r="A20" s="214">
        <v>2020</v>
      </c>
      <c r="B20" s="215"/>
      <c r="C20" s="216"/>
      <c r="D20" s="217"/>
      <c r="E20" s="227">
        <v>14277403.9</v>
      </c>
      <c r="F20" s="229"/>
      <c r="G20" s="229"/>
      <c r="H20" s="229"/>
      <c r="I20" s="229"/>
      <c r="J20" s="229"/>
      <c r="K20" s="229"/>
      <c r="L20" s="229"/>
      <c r="M20" s="45"/>
      <c r="O20" s="255"/>
    </row>
    <row r="21" spans="1:17" x14ac:dyDescent="0.2">
      <c r="A21" s="71">
        <v>2020</v>
      </c>
      <c r="B21" s="222"/>
      <c r="C21" s="223"/>
      <c r="D21" s="137"/>
      <c r="E21" s="200">
        <f>SUBTOTAL(9,E20:E20)</f>
        <v>14277403.9</v>
      </c>
      <c r="F21" s="229">
        <f>F19+E21</f>
        <v>67657787.800000012</v>
      </c>
      <c r="G21" s="229">
        <f>'2025 Wastewater - Phase Costs'!S22</f>
        <v>2371117.81</v>
      </c>
      <c r="H21" s="229">
        <f>G21+H19</f>
        <v>20052290.479999997</v>
      </c>
      <c r="I21" s="229">
        <f>F21-H21</f>
        <v>47605497.320000015</v>
      </c>
      <c r="J21" s="229">
        <v>228984.48</v>
      </c>
      <c r="K21" s="219">
        <f>K19+J21</f>
        <v>757809.74</v>
      </c>
      <c r="L21" s="229">
        <f>I21+K21</f>
        <v>48363307.060000017</v>
      </c>
      <c r="M21" s="45"/>
    </row>
    <row r="22" spans="1:17" x14ac:dyDescent="0.2">
      <c r="A22" s="214">
        <v>2021</v>
      </c>
      <c r="B22" s="215"/>
      <c r="C22" s="216"/>
      <c r="D22" s="217"/>
      <c r="E22" s="227">
        <v>18405652.07</v>
      </c>
      <c r="F22" s="229"/>
      <c r="G22" s="229"/>
      <c r="H22" s="229"/>
      <c r="I22" s="229"/>
      <c r="J22" s="229"/>
      <c r="K22" s="219"/>
      <c r="L22" s="229"/>
      <c r="M22" s="45"/>
    </row>
    <row r="23" spans="1:17" x14ac:dyDescent="0.2">
      <c r="A23" s="71">
        <v>2021</v>
      </c>
      <c r="B23" s="222"/>
      <c r="C23" s="223"/>
      <c r="D23" s="137"/>
      <c r="E23" s="200">
        <f>SUBTOTAL(9,E22:E22)</f>
        <v>18405652.07</v>
      </c>
      <c r="F23" s="229">
        <f>F21+E23</f>
        <v>86063439.870000005</v>
      </c>
      <c r="G23" s="229">
        <f>'2025 Wastewater - Phase Costs'!S25</f>
        <v>2978835.34</v>
      </c>
      <c r="H23" s="229">
        <f>G23+H21</f>
        <v>23031125.819999997</v>
      </c>
      <c r="I23" s="229">
        <f>F23-H23</f>
        <v>63032314.050000012</v>
      </c>
      <c r="J23" s="229">
        <v>322296.90000000002</v>
      </c>
      <c r="K23" s="219">
        <f>K21+J23</f>
        <v>1080106.6400000001</v>
      </c>
      <c r="L23" s="229">
        <f>I23+K23</f>
        <v>64112420.690000013</v>
      </c>
      <c r="M23" s="45"/>
      <c r="N23" s="45"/>
      <c r="O23" s="87"/>
      <c r="P23" s="252"/>
      <c r="Q23" s="255"/>
    </row>
    <row r="24" spans="1:17" x14ac:dyDescent="0.2">
      <c r="A24" s="214">
        <v>2022</v>
      </c>
      <c r="B24" s="215"/>
      <c r="C24" s="216"/>
      <c r="D24" s="217"/>
      <c r="E24" s="227">
        <v>19755957.34</v>
      </c>
      <c r="F24" s="229"/>
      <c r="G24" s="229"/>
      <c r="H24" s="229"/>
      <c r="I24" s="229"/>
      <c r="J24" s="229"/>
      <c r="K24" s="219"/>
      <c r="L24" s="229"/>
      <c r="M24" s="45"/>
      <c r="O24" s="45"/>
    </row>
    <row r="25" spans="1:17" x14ac:dyDescent="0.2">
      <c r="A25" s="71">
        <v>2022</v>
      </c>
      <c r="B25" s="222"/>
      <c r="C25" s="223"/>
      <c r="D25" s="137" t="s">
        <v>321</v>
      </c>
      <c r="E25" s="200">
        <f>SUBTOTAL(9,E24:E24)</f>
        <v>19755957.34</v>
      </c>
      <c r="F25" s="229">
        <f>F23+E25</f>
        <v>105819397.21000001</v>
      </c>
      <c r="G25" s="229">
        <v>0</v>
      </c>
      <c r="H25" s="229">
        <f>G25+H23</f>
        <v>23031125.819999997</v>
      </c>
      <c r="I25" s="229">
        <f>F25-H25</f>
        <v>82788271.390000015</v>
      </c>
      <c r="J25" s="229">
        <v>1295538.8500000001</v>
      </c>
      <c r="K25" s="219">
        <f>K23+J25</f>
        <v>2375645.4900000002</v>
      </c>
      <c r="L25" s="229">
        <f>I25+K25</f>
        <v>85163916.88000001</v>
      </c>
      <c r="M25" s="45"/>
      <c r="N25" s="45"/>
    </row>
    <row r="26" spans="1:17" x14ac:dyDescent="0.2">
      <c r="A26" s="214">
        <v>2023</v>
      </c>
      <c r="B26" s="215"/>
      <c r="C26" s="216"/>
      <c r="D26" s="217"/>
      <c r="E26" s="227">
        <v>13529600.949999999</v>
      </c>
      <c r="F26" s="229"/>
      <c r="G26" s="229"/>
      <c r="H26" s="229"/>
      <c r="I26" s="229"/>
      <c r="J26" s="229"/>
      <c r="K26" s="229"/>
      <c r="L26" s="229"/>
      <c r="M26" s="45"/>
    </row>
    <row r="27" spans="1:17" x14ac:dyDescent="0.2">
      <c r="A27" s="71">
        <v>2023</v>
      </c>
      <c r="B27" s="222"/>
      <c r="C27" s="223"/>
      <c r="D27" s="137"/>
      <c r="E27" s="200">
        <f>SUBTOTAL(9,E26:E26)</f>
        <v>13529600.949999999</v>
      </c>
      <c r="F27" s="229">
        <f>F25+E27</f>
        <v>119348998.16000001</v>
      </c>
      <c r="G27" s="229">
        <f>'2025 Wastewater - Phase Costs'!S29</f>
        <v>7846211.1099999994</v>
      </c>
      <c r="H27" s="229">
        <f>G27+H25</f>
        <v>30877336.929999996</v>
      </c>
      <c r="I27" s="229">
        <f>F27-H27</f>
        <v>88471661.230000019</v>
      </c>
      <c r="J27" s="229">
        <f>1740937.58-216694.38</f>
        <v>1524243.2000000002</v>
      </c>
      <c r="K27" s="219">
        <f>K25+J27</f>
        <v>3899888.6900000004</v>
      </c>
      <c r="L27" s="229">
        <f>I27+K27</f>
        <v>92371549.920000017</v>
      </c>
      <c r="M27" s="45"/>
      <c r="N27" s="45"/>
    </row>
    <row r="28" spans="1:17" x14ac:dyDescent="0.2">
      <c r="A28" s="214">
        <v>2024</v>
      </c>
      <c r="B28" s="215"/>
      <c r="C28" s="216"/>
      <c r="D28" s="217"/>
      <c r="E28" s="227">
        <v>23668052.18</v>
      </c>
      <c r="F28" s="229"/>
      <c r="G28" s="229"/>
      <c r="H28" s="229"/>
      <c r="I28" s="229"/>
      <c r="J28" s="229"/>
      <c r="K28" s="219"/>
      <c r="L28" s="229"/>
      <c r="M28" s="45"/>
    </row>
    <row r="29" spans="1:17" x14ac:dyDescent="0.2">
      <c r="A29" s="71">
        <v>2024</v>
      </c>
      <c r="B29" s="222"/>
      <c r="C29" s="223"/>
      <c r="D29" s="137"/>
      <c r="E29" s="200">
        <f>SUBTOTAL(9,E28:E28)</f>
        <v>23668052.18</v>
      </c>
      <c r="F29" s="229">
        <f>F27+E29</f>
        <v>143017050.34</v>
      </c>
      <c r="G29" s="240">
        <f>'2025 Wastewater - Phase Costs'!S31</f>
        <v>299303.34000000003</v>
      </c>
      <c r="H29" s="229">
        <f>G29+H27</f>
        <v>31176640.269999996</v>
      </c>
      <c r="I29" s="229">
        <f>F29-H29</f>
        <v>111840410.07000001</v>
      </c>
      <c r="J29" s="229">
        <f>2303977.51-211921.79</f>
        <v>2092055.7199999997</v>
      </c>
      <c r="K29" s="219">
        <f>K27+J29</f>
        <v>5991944.4100000001</v>
      </c>
      <c r="L29" s="229">
        <f>I29+K29</f>
        <v>117832354.48</v>
      </c>
      <c r="M29" s="45"/>
      <c r="N29" s="45"/>
      <c r="O29" s="45"/>
    </row>
    <row r="30" spans="1:17" x14ac:dyDescent="0.2">
      <c r="A30" s="214">
        <v>2025</v>
      </c>
      <c r="B30" s="215">
        <f>'Population Projections'!$F$6/5</f>
        <v>499.4</v>
      </c>
      <c r="C30" s="216" t="s">
        <v>322</v>
      </c>
      <c r="D30" s="217">
        <f>VLOOKUP(A30,'Escalation Factors'!$E$17:$F$44,2,FALSE)</f>
        <v>1</v>
      </c>
      <c r="E30" s="227">
        <f>B30*D30*'2025 Wastewater - Charge'!$E$40</f>
        <v>5376693.3757924056</v>
      </c>
      <c r="F30" s="229"/>
      <c r="G30" s="229"/>
      <c r="H30" s="229"/>
      <c r="I30" s="229"/>
      <c r="J30" s="229"/>
      <c r="K30" s="219"/>
      <c r="L30" s="229"/>
      <c r="M30" s="45"/>
      <c r="O30" s="45"/>
    </row>
    <row r="31" spans="1:17" x14ac:dyDescent="0.2">
      <c r="A31" s="214">
        <v>2025</v>
      </c>
      <c r="B31" s="215">
        <f>'Population Projections'!$G$6/5</f>
        <v>1421.6</v>
      </c>
      <c r="C31" s="216" t="s">
        <v>323</v>
      </c>
      <c r="D31" s="217">
        <f>VLOOKUP(A31,'Escalation Factors'!$E$17:$F$44,2,FALSE)</f>
        <v>1</v>
      </c>
      <c r="E31" s="227">
        <f>B31*D31*'2025 Wastewater - Charge'!$E$42</f>
        <v>10279733.549997063</v>
      </c>
      <c r="F31" s="229"/>
      <c r="G31" s="229"/>
      <c r="H31" s="229"/>
      <c r="I31" s="229"/>
      <c r="J31" s="229"/>
      <c r="K31" s="219"/>
      <c r="L31" s="229"/>
      <c r="M31" s="45"/>
    </row>
    <row r="32" spans="1:17" x14ac:dyDescent="0.2">
      <c r="A32" s="214">
        <v>2025</v>
      </c>
      <c r="B32" s="215">
        <f>'Population Projections'!$J$6/5</f>
        <v>1844778.6</v>
      </c>
      <c r="C32" s="216" t="s">
        <v>324</v>
      </c>
      <c r="D32" s="217">
        <f>VLOOKUP(A32,'Escalation Factors'!$E$17:$F$44,2,FALSE)</f>
        <v>1</v>
      </c>
      <c r="E32" s="227">
        <f>B32*D32*'2025 Wastewater - Charge'!$E$48</f>
        <v>9110391.1722444054</v>
      </c>
      <c r="F32" s="228"/>
      <c r="G32" s="229"/>
      <c r="H32" s="228"/>
      <c r="I32" s="228"/>
      <c r="J32" s="228"/>
      <c r="K32" s="219"/>
      <c r="L32" s="228"/>
      <c r="M32" s="45"/>
    </row>
    <row r="33" spans="1:14" x14ac:dyDescent="0.2">
      <c r="A33" s="71">
        <v>2025</v>
      </c>
      <c r="B33" s="222"/>
      <c r="C33" s="223"/>
      <c r="D33" s="137"/>
      <c r="E33" s="200">
        <f>SUBTOTAL(9,E30:E32)</f>
        <v>24766818.098033875</v>
      </c>
      <c r="F33" s="228">
        <f>F29+E33</f>
        <v>167783868.43803388</v>
      </c>
      <c r="G33" s="229">
        <f>'2025 Wastewater - Phase Costs'!S42</f>
        <v>6795306.0731087113</v>
      </c>
      <c r="H33" s="228">
        <f>G33+H29</f>
        <v>37971946.343108706</v>
      </c>
      <c r="I33" s="228">
        <f>F33-H33</f>
        <v>129811922.09492517</v>
      </c>
      <c r="J33" s="228">
        <f>I33*(IF(L29&gt;0,$N$8,$N$5))</f>
        <v>2075692.6342978536</v>
      </c>
      <c r="K33" s="219">
        <f>(1+(IF(L29&gt;0,$N$8,$N$5)))*K29+J33</f>
        <v>8163448.2354137534</v>
      </c>
      <c r="L33" s="228">
        <f>I33+K33</f>
        <v>137975370.33033893</v>
      </c>
      <c r="M33" s="45"/>
    </row>
    <row r="34" spans="1:14" x14ac:dyDescent="0.2">
      <c r="A34" s="214">
        <v>2026</v>
      </c>
      <c r="B34" s="215">
        <f>'Population Projections'!$F$7/5</f>
        <v>540.6</v>
      </c>
      <c r="C34" s="216" t="s">
        <v>322</v>
      </c>
      <c r="D34" s="217">
        <f>VLOOKUP(A34,'Escalation Factors'!$E$17:$F$44,2,FALSE)</f>
        <v>1.02844</v>
      </c>
      <c r="E34" s="227">
        <f>B34*D34*'2025 Wastewater - Charge'!$E$40</f>
        <v>5985793.5383204026</v>
      </c>
      <c r="F34" s="228"/>
      <c r="G34" s="229"/>
      <c r="H34" s="228"/>
      <c r="I34" s="228"/>
      <c r="J34" s="228"/>
      <c r="K34" s="219"/>
      <c r="L34" s="228"/>
      <c r="M34" s="45"/>
    </row>
    <row r="35" spans="1:14" x14ac:dyDescent="0.2">
      <c r="A35" s="214">
        <v>2026</v>
      </c>
      <c r="B35" s="215">
        <f>'Population Projections'!$G$7/5</f>
        <v>1539</v>
      </c>
      <c r="C35" s="216" t="s">
        <v>323</v>
      </c>
      <c r="D35" s="217">
        <f>VLOOKUP(A35,'Escalation Factors'!$E$17:$F$44,2,FALSE)</f>
        <v>1.02844</v>
      </c>
      <c r="E35" s="227">
        <f>B35*D35*'2025 Wastewater - Charge'!$E$42</f>
        <v>11445164.065808013</v>
      </c>
      <c r="F35" s="228"/>
      <c r="G35" s="229"/>
      <c r="H35" s="228"/>
      <c r="I35" s="228"/>
      <c r="J35" s="228"/>
      <c r="K35" s="219"/>
      <c r="L35" s="228"/>
      <c r="M35" s="45"/>
    </row>
    <row r="36" spans="1:14" x14ac:dyDescent="0.2">
      <c r="A36" s="214">
        <v>2026</v>
      </c>
      <c r="B36" s="215">
        <f>'Population Projections'!$J$7/5</f>
        <v>1997093.8</v>
      </c>
      <c r="C36" s="216" t="s">
        <v>324</v>
      </c>
      <c r="D36" s="217">
        <f>VLOOKUP(A36,'Escalation Factors'!$E$17:$F$44,2,FALSE)</f>
        <v>1.02844</v>
      </c>
      <c r="E36" s="227">
        <f>B36*D36*'2025 Wastewater - Charge'!$E$48</f>
        <v>10143088.054307396</v>
      </c>
      <c r="F36" s="228"/>
      <c r="G36" s="229"/>
      <c r="H36" s="228"/>
      <c r="I36" s="228"/>
      <c r="J36" s="228"/>
      <c r="K36" s="219"/>
      <c r="L36" s="228"/>
      <c r="M36" s="45"/>
    </row>
    <row r="37" spans="1:14" x14ac:dyDescent="0.2">
      <c r="A37" s="71">
        <v>2026</v>
      </c>
      <c r="B37" s="222"/>
      <c r="C37" s="223"/>
      <c r="D37" s="137"/>
      <c r="E37" s="200">
        <f>SUBTOTAL(9,E34:E36)</f>
        <v>27574045.658435814</v>
      </c>
      <c r="F37" s="228">
        <f>F33+E37</f>
        <v>195357914.0964697</v>
      </c>
      <c r="G37" s="229">
        <f>'2025 Wastewater - Phase Costs'!$S$67/5</f>
        <v>34655110.664217748</v>
      </c>
      <c r="H37" s="228">
        <f>G37+H33</f>
        <v>72627057.007326454</v>
      </c>
      <c r="I37" s="228">
        <f>F37-H37</f>
        <v>122730857.08914325</v>
      </c>
      <c r="J37" s="228">
        <f>I37*(IF(L33&gt;0,$N$8,$N$5))</f>
        <v>1962466.4048554006</v>
      </c>
      <c r="K37" s="219">
        <f>(1+(IF(L33&gt;0,$N$8,$N$5)))*K33+J37</f>
        <v>10256448.177553419</v>
      </c>
      <c r="L37" s="228">
        <f>I37+K37</f>
        <v>132987305.26669666</v>
      </c>
      <c r="M37" s="45"/>
      <c r="N37" s="45"/>
    </row>
    <row r="38" spans="1:14" x14ac:dyDescent="0.2">
      <c r="A38" s="214">
        <v>2027</v>
      </c>
      <c r="B38" s="215">
        <f>'Population Projections'!$F$7/5</f>
        <v>540.6</v>
      </c>
      <c r="C38" s="216" t="s">
        <v>322</v>
      </c>
      <c r="D38" s="217">
        <f>VLOOKUP(A38,'Escalation Factors'!$E$17:$F$44,2,FALSE)</f>
        <v>1.0576888336000001</v>
      </c>
      <c r="E38" s="227">
        <f>B38*D38*'2025 Wastewater - Charge'!$E$40</f>
        <v>6156029.5065502357</v>
      </c>
      <c r="F38" s="228"/>
      <c r="G38" s="229"/>
      <c r="H38" s="228"/>
      <c r="I38" s="228"/>
      <c r="J38" s="228"/>
      <c r="K38" s="219"/>
      <c r="L38" s="228"/>
      <c r="M38" s="45"/>
    </row>
    <row r="39" spans="1:14" x14ac:dyDescent="0.2">
      <c r="A39" s="214">
        <v>2027</v>
      </c>
      <c r="B39" s="215">
        <f>'Population Projections'!$G$7/5</f>
        <v>1539</v>
      </c>
      <c r="C39" s="216" t="s">
        <v>323</v>
      </c>
      <c r="D39" s="217">
        <f>VLOOKUP(A39,'Escalation Factors'!$E$17:$F$44,2,FALSE)</f>
        <v>1.0576888336000001</v>
      </c>
      <c r="E39" s="227">
        <f>B39*D39*'2025 Wastewater - Charge'!$E$42</f>
        <v>11770664.531839594</v>
      </c>
      <c r="F39" s="228"/>
      <c r="G39" s="229"/>
      <c r="H39" s="228"/>
      <c r="I39" s="228"/>
      <c r="J39" s="228"/>
      <c r="K39" s="219"/>
      <c r="L39" s="228"/>
      <c r="M39" s="45"/>
    </row>
    <row r="40" spans="1:14" x14ac:dyDescent="0.2">
      <c r="A40" s="214">
        <v>2027</v>
      </c>
      <c r="B40" s="215">
        <f>'Population Projections'!$J$7/5</f>
        <v>1997093.8</v>
      </c>
      <c r="C40" s="216" t="s">
        <v>324</v>
      </c>
      <c r="D40" s="217">
        <f>VLOOKUP(A40,'Escalation Factors'!$E$17:$F$44,2,FALSE)</f>
        <v>1.0576888336000001</v>
      </c>
      <c r="E40" s="227">
        <f>B40*D40*'2025 Wastewater - Charge'!$E$48</f>
        <v>10431557.478571899</v>
      </c>
      <c r="F40" s="228"/>
      <c r="G40" s="229"/>
      <c r="H40" s="228"/>
      <c r="I40" s="228"/>
      <c r="J40" s="228"/>
      <c r="K40" s="219"/>
      <c r="L40" s="228"/>
      <c r="M40" s="45"/>
    </row>
    <row r="41" spans="1:14" x14ac:dyDescent="0.2">
      <c r="A41" s="71">
        <v>2027</v>
      </c>
      <c r="B41" s="222"/>
      <c r="C41" s="223"/>
      <c r="D41" s="137"/>
      <c r="E41" s="200">
        <f>SUBTOTAL(9,E38:E40)</f>
        <v>28358251.516961731</v>
      </c>
      <c r="F41" s="228">
        <f>F37+E41</f>
        <v>223716165.61343142</v>
      </c>
      <c r="G41" s="229">
        <f>'2025 Wastewater - Phase Costs'!$S$67/5</f>
        <v>34655110.664217748</v>
      </c>
      <c r="H41" s="228">
        <f>G41+H37</f>
        <v>107282167.67154419</v>
      </c>
      <c r="I41" s="228">
        <f>F41-H41</f>
        <v>116433997.94188723</v>
      </c>
      <c r="J41" s="228">
        <f>I41*(IF(L37&gt;0,$N$8,$N$5))</f>
        <v>1861779.6270907768</v>
      </c>
      <c r="K41" s="219">
        <f>(1+(IF(L37&gt;0,$N$8,$N$5)))*K37+J41</f>
        <v>12282228.411003275</v>
      </c>
      <c r="L41" s="228">
        <f>I41+K41</f>
        <v>128716226.35289051</v>
      </c>
      <c r="M41" s="45"/>
    </row>
    <row r="42" spans="1:14" x14ac:dyDescent="0.2">
      <c r="A42" s="214">
        <v>2028</v>
      </c>
      <c r="B42" s="215">
        <f>'Population Projections'!$F$7/5</f>
        <v>540.6</v>
      </c>
      <c r="C42" s="216" t="s">
        <v>322</v>
      </c>
      <c r="D42" s="217">
        <f>VLOOKUP(A42,'Escalation Factors'!$E$17:$F$44,2,FALSE)</f>
        <v>1.0877695040275841</v>
      </c>
      <c r="E42" s="227">
        <f>B42*D42*'2025 Wastewater - Charge'!$E$40</f>
        <v>6331106.9857165236</v>
      </c>
      <c r="F42" s="228"/>
      <c r="G42" s="229"/>
      <c r="H42" s="228"/>
      <c r="I42" s="228"/>
      <c r="J42" s="228"/>
      <c r="K42" s="219"/>
      <c r="L42" s="228"/>
      <c r="M42" s="45"/>
    </row>
    <row r="43" spans="1:14" x14ac:dyDescent="0.2">
      <c r="A43" s="214">
        <v>2028</v>
      </c>
      <c r="B43" s="215">
        <f>'Population Projections'!$G$7/5</f>
        <v>1539</v>
      </c>
      <c r="C43" s="216" t="s">
        <v>323</v>
      </c>
      <c r="D43" s="217">
        <f>VLOOKUP(A43,'Escalation Factors'!$E$17:$F$44,2,FALSE)</f>
        <v>1.0877695040275841</v>
      </c>
      <c r="E43" s="227">
        <f>B43*D43*'2025 Wastewater - Charge'!$E$42</f>
        <v>12105422.231125113</v>
      </c>
      <c r="F43" s="228"/>
      <c r="G43" s="229"/>
      <c r="H43" s="228"/>
      <c r="I43" s="228"/>
      <c r="J43" s="228"/>
      <c r="K43" s="219"/>
      <c r="L43" s="228"/>
      <c r="M43" s="45"/>
    </row>
    <row r="44" spans="1:14" x14ac:dyDescent="0.2">
      <c r="A44" s="214">
        <v>2028</v>
      </c>
      <c r="B44" s="215">
        <f>'Population Projections'!$J$7/5</f>
        <v>1997093.8</v>
      </c>
      <c r="C44" s="216" t="s">
        <v>324</v>
      </c>
      <c r="D44" s="217">
        <f>VLOOKUP(A44,'Escalation Factors'!$E$17:$F$44,2,FALSE)</f>
        <v>1.0877695040275841</v>
      </c>
      <c r="E44" s="227">
        <f>B44*D44*'2025 Wastewater - Charge'!$E$48</f>
        <v>10728230.973262483</v>
      </c>
      <c r="F44" s="228"/>
      <c r="G44" s="229"/>
      <c r="H44" s="228"/>
      <c r="I44" s="228"/>
      <c r="J44" s="228"/>
      <c r="K44" s="219"/>
      <c r="L44" s="228"/>
      <c r="M44" s="45"/>
    </row>
    <row r="45" spans="1:14" x14ac:dyDescent="0.2">
      <c r="A45" s="71">
        <v>2028</v>
      </c>
      <c r="B45" s="222"/>
      <c r="C45" s="223"/>
      <c r="D45" s="137"/>
      <c r="E45" s="200">
        <f>SUBTOTAL(9,E42:E44)</f>
        <v>29164760.190104119</v>
      </c>
      <c r="F45" s="228">
        <f>F41+E45</f>
        <v>252880925.80353555</v>
      </c>
      <c r="G45" s="229">
        <f>'2025 Wastewater - Phase Costs'!$S$67/5</f>
        <v>34655110.664217748</v>
      </c>
      <c r="H45" s="228">
        <f>G45+H41</f>
        <v>141937278.33576193</v>
      </c>
      <c r="I45" s="228">
        <f>F45-H45</f>
        <v>110943647.46777362</v>
      </c>
      <c r="J45" s="228">
        <f>I45*(IF(L41&gt;0,$N$8,$N$5))</f>
        <v>1773988.9230097001</v>
      </c>
      <c r="K45" s="219">
        <f>(1+(IF(L41&gt;0,$N$8,$N$5)))*K41+J45</f>
        <v>14252610.166304916</v>
      </c>
      <c r="L45" s="228">
        <f>I45+K45</f>
        <v>125196257.63407853</v>
      </c>
      <c r="M45" s="45"/>
    </row>
    <row r="46" spans="1:14" x14ac:dyDescent="0.2">
      <c r="A46" s="214">
        <v>2029</v>
      </c>
      <c r="B46" s="215">
        <f>'Population Projections'!$F$7/5</f>
        <v>540.6</v>
      </c>
      <c r="C46" s="216" t="s">
        <v>322</v>
      </c>
      <c r="D46" s="217">
        <f>VLOOKUP(A46,'Escalation Factors'!$E$17:$F$44,2,FALSE)</f>
        <v>1.1187056687221286</v>
      </c>
      <c r="E46" s="227">
        <f>B46*D46*'2025 Wastewater - Charge'!$E$40</f>
        <v>6511163.668390302</v>
      </c>
      <c r="F46" s="228"/>
      <c r="G46" s="229"/>
      <c r="H46" s="228"/>
      <c r="I46" s="228"/>
      <c r="J46" s="228"/>
      <c r="K46" s="219"/>
      <c r="L46" s="228"/>
      <c r="M46" s="45"/>
    </row>
    <row r="47" spans="1:14" x14ac:dyDescent="0.2">
      <c r="A47" s="214">
        <v>2029</v>
      </c>
      <c r="B47" s="215">
        <f>'Population Projections'!$G$7/5</f>
        <v>1539</v>
      </c>
      <c r="C47" s="216" t="s">
        <v>323</v>
      </c>
      <c r="D47" s="217">
        <f>VLOOKUP(A47,'Escalation Factors'!$E$17:$F$44,2,FALSE)</f>
        <v>1.1187056687221286</v>
      </c>
      <c r="E47" s="227">
        <f>B47*D47*'2025 Wastewater - Charge'!$E$42</f>
        <v>12449700.43937831</v>
      </c>
      <c r="F47" s="228"/>
      <c r="G47" s="229"/>
      <c r="H47" s="228"/>
      <c r="I47" s="228"/>
      <c r="J47" s="228"/>
      <c r="K47" s="219"/>
      <c r="L47" s="228"/>
      <c r="M47" s="45"/>
    </row>
    <row r="48" spans="1:14" x14ac:dyDescent="0.2">
      <c r="A48" s="214">
        <v>2029</v>
      </c>
      <c r="B48" s="215">
        <f>'Population Projections'!$J$7/5</f>
        <v>1997093.8</v>
      </c>
      <c r="C48" s="216" t="s">
        <v>324</v>
      </c>
      <c r="D48" s="217">
        <f>VLOOKUP(A48,'Escalation Factors'!$E$17:$F$44,2,FALSE)</f>
        <v>1.1187056687221286</v>
      </c>
      <c r="E48" s="227">
        <f>B48*D48*'2025 Wastewater - Charge'!$E$48</f>
        <v>11033341.862142067</v>
      </c>
      <c r="F48" s="228"/>
      <c r="G48" s="229"/>
      <c r="H48" s="228"/>
      <c r="I48" s="228"/>
      <c r="J48" s="228"/>
      <c r="K48" s="219"/>
      <c r="L48" s="228"/>
      <c r="M48" s="45"/>
    </row>
    <row r="49" spans="1:13" x14ac:dyDescent="0.2">
      <c r="A49" s="71">
        <v>2029</v>
      </c>
      <c r="B49" s="222"/>
      <c r="C49" s="223"/>
      <c r="D49" s="137"/>
      <c r="E49" s="200">
        <f>SUBTOTAL(9,E46:E48)</f>
        <v>29994205.969910678</v>
      </c>
      <c r="F49" s="228">
        <f>F45+E49</f>
        <v>282875131.7734462</v>
      </c>
      <c r="G49" s="229">
        <f>'2025 Wastewater - Phase Costs'!$S$67/5</f>
        <v>34655110.664217748</v>
      </c>
      <c r="H49" s="228">
        <f>G49+H45</f>
        <v>176592388.99997967</v>
      </c>
      <c r="I49" s="228">
        <f>F49-H49</f>
        <v>106282742.77346653</v>
      </c>
      <c r="J49" s="228">
        <f>I49*(IF(L45&gt;0,$N$8,$N$5))</f>
        <v>1699461.0569477298</v>
      </c>
      <c r="K49" s="219">
        <f>(1+(IF(L45&gt;0,$N$8,$N$5)))*K45+J49</f>
        <v>16179970.459811861</v>
      </c>
      <c r="L49" s="228">
        <f>I49+K49</f>
        <v>122462713.23327839</v>
      </c>
      <c r="M49" s="45"/>
    </row>
    <row r="50" spans="1:13" x14ac:dyDescent="0.2">
      <c r="A50" s="214">
        <v>2030</v>
      </c>
      <c r="B50" s="215">
        <f>'Population Projections'!$F$7/5</f>
        <v>540.6</v>
      </c>
      <c r="C50" s="216" t="s">
        <v>322</v>
      </c>
      <c r="D50" s="217">
        <f>VLOOKUP(A50,'Escalation Factors'!$E$17:$F$44,2,FALSE)</f>
        <v>1.1505216579405859</v>
      </c>
      <c r="E50" s="227">
        <f>B50*D50*'2025 Wastewater - Charge'!$E$40</f>
        <v>6696341.1631193226</v>
      </c>
      <c r="F50" s="228"/>
      <c r="G50" s="229"/>
      <c r="H50" s="228"/>
      <c r="I50" s="228"/>
      <c r="J50" s="228"/>
      <c r="K50" s="219"/>
      <c r="L50" s="228"/>
      <c r="M50" s="45"/>
    </row>
    <row r="51" spans="1:13" x14ac:dyDescent="0.2">
      <c r="A51" s="214">
        <v>2030</v>
      </c>
      <c r="B51" s="215">
        <f>'Population Projections'!$G$7/5</f>
        <v>1539</v>
      </c>
      <c r="C51" s="216" t="s">
        <v>323</v>
      </c>
      <c r="D51" s="217">
        <f>VLOOKUP(A51,'Escalation Factors'!$E$17:$F$44,2,FALSE)</f>
        <v>1.1505216579405859</v>
      </c>
      <c r="E51" s="227">
        <f>B51*D51*'2025 Wastewater - Charge'!$E$42</f>
        <v>12803769.91987423</v>
      </c>
      <c r="F51" s="228"/>
      <c r="G51" s="229"/>
      <c r="H51" s="228"/>
      <c r="I51" s="228"/>
      <c r="J51" s="228"/>
      <c r="K51" s="219"/>
      <c r="L51" s="228"/>
      <c r="M51" s="45"/>
    </row>
    <row r="52" spans="1:13" x14ac:dyDescent="0.2">
      <c r="A52" s="214">
        <v>2030</v>
      </c>
      <c r="B52" s="215">
        <f>'Population Projections'!$J$7/5</f>
        <v>1997093.8</v>
      </c>
      <c r="C52" s="216" t="s">
        <v>324</v>
      </c>
      <c r="D52" s="217">
        <f>VLOOKUP(A52,'Escalation Factors'!$E$17:$F$44,2,FALSE)</f>
        <v>1.1505216579405859</v>
      </c>
      <c r="E52" s="227">
        <f>B52*D52*'2025 Wastewater - Charge'!$E$48</f>
        <v>11347130.104701389</v>
      </c>
      <c r="F52" s="228"/>
      <c r="G52" s="229"/>
      <c r="H52" s="228"/>
      <c r="I52" s="228"/>
      <c r="J52" s="228"/>
      <c r="K52" s="219"/>
      <c r="L52" s="228"/>
      <c r="M52" s="45"/>
    </row>
    <row r="53" spans="1:13" x14ac:dyDescent="0.2">
      <c r="A53" s="71">
        <v>2030</v>
      </c>
      <c r="B53" s="222"/>
      <c r="C53" s="223"/>
      <c r="D53" s="137"/>
      <c r="E53" s="200">
        <f>SUBTOTAL(9,E50:E52)</f>
        <v>30847241.187694941</v>
      </c>
      <c r="F53" s="228">
        <f>F49+E53</f>
        <v>313722372.96114117</v>
      </c>
      <c r="G53" s="229">
        <f>'2025 Wastewater - Phase Costs'!$S$67/5</f>
        <v>34655110.664217748</v>
      </c>
      <c r="H53" s="228">
        <f>G53+H49</f>
        <v>211247499.66419742</v>
      </c>
      <c r="I53" s="228">
        <f>F53-H53</f>
        <v>102474873.29694375</v>
      </c>
      <c r="J53" s="228">
        <f>I53*(IF(L49&gt;0,$N$8,$N$5))</f>
        <v>1638573.2240181307</v>
      </c>
      <c r="K53" s="219">
        <f>(1+(IF(L49&gt;0,$N$8,$N$5)))*K49+J53</f>
        <v>18077261.411482383</v>
      </c>
      <c r="L53" s="228">
        <f>I53+K53</f>
        <v>120552134.70842613</v>
      </c>
      <c r="M53" s="45"/>
    </row>
    <row r="54" spans="1:13" x14ac:dyDescent="0.2">
      <c r="A54" s="214">
        <v>2031</v>
      </c>
      <c r="B54" s="215">
        <f>'Population Projections'!$F$8/5</f>
        <v>565</v>
      </c>
      <c r="C54" s="216" t="s">
        <v>322</v>
      </c>
      <c r="D54" s="217">
        <f>VLOOKUP(A54,'Escalation Factors'!$E$17:$F$44,2,FALSE)</f>
        <v>1.1832424938924164</v>
      </c>
      <c r="E54" s="227">
        <f>B54*D54*'2025 Wastewater - Charge'!$E$40</f>
        <v>7197620.3935925206</v>
      </c>
      <c r="F54" s="228"/>
      <c r="G54" s="229"/>
      <c r="H54" s="228"/>
      <c r="I54" s="228"/>
      <c r="J54" s="228"/>
      <c r="K54" s="219"/>
      <c r="L54" s="228"/>
      <c r="M54" s="45"/>
    </row>
    <row r="55" spans="1:13" x14ac:dyDescent="0.2">
      <c r="A55" s="214">
        <v>2031</v>
      </c>
      <c r="B55" s="215">
        <f>'Population Projections'!$G$8/5</f>
        <v>1607.8</v>
      </c>
      <c r="C55" s="216" t="s">
        <v>323</v>
      </c>
      <c r="D55" s="217">
        <f>VLOOKUP(A55,'Escalation Factors'!$E$17:$F$44,2,FALSE)</f>
        <v>1.1832424938924164</v>
      </c>
      <c r="E55" s="227">
        <f>B55*D55*'2025 Wastewater - Charge'!$E$42</f>
        <v>13756572.000972457</v>
      </c>
      <c r="F55" s="228"/>
      <c r="G55" s="229"/>
      <c r="H55" s="228"/>
      <c r="I55" s="228"/>
      <c r="J55" s="228"/>
      <c r="K55" s="219"/>
      <c r="L55" s="228"/>
      <c r="M55" s="45"/>
    </row>
    <row r="56" spans="1:13" x14ac:dyDescent="0.2">
      <c r="A56" s="214">
        <v>2031</v>
      </c>
      <c r="B56" s="215">
        <f>'Population Projections'!$J$8/5</f>
        <v>2086443.6</v>
      </c>
      <c r="C56" s="216" t="s">
        <v>324</v>
      </c>
      <c r="D56" s="217">
        <f>VLOOKUP(A56,'Escalation Factors'!$E$17:$F$44,2,FALSE)</f>
        <v>1.1832424938924164</v>
      </c>
      <c r="E56" s="227">
        <f>B56*D56*'2025 Wastewater - Charge'!$E$48</f>
        <v>12191950.205635855</v>
      </c>
      <c r="F56" s="228"/>
      <c r="G56" s="229"/>
      <c r="H56" s="228"/>
      <c r="I56" s="228"/>
      <c r="J56" s="228"/>
      <c r="K56" s="219"/>
      <c r="L56" s="228"/>
      <c r="M56" s="45"/>
    </row>
    <row r="57" spans="1:13" x14ac:dyDescent="0.2">
      <c r="A57" s="71">
        <v>2031</v>
      </c>
      <c r="B57" s="222"/>
      <c r="C57" s="223"/>
      <c r="D57" s="137"/>
      <c r="E57" s="200">
        <f>SUBTOTAL(9,E54:E56)</f>
        <v>33146142.600200832</v>
      </c>
      <c r="F57" s="228">
        <f>F53+E57</f>
        <v>346868515.561342</v>
      </c>
      <c r="G57" s="229">
        <f>'2025 Wastewater - Phase Costs'!$S$91/5</f>
        <v>42783774.11076849</v>
      </c>
      <c r="H57" s="228">
        <f>G57+H53</f>
        <v>254031273.77496591</v>
      </c>
      <c r="I57" s="228">
        <f>F57-H57</f>
        <v>92837241.786376089</v>
      </c>
      <c r="J57" s="228">
        <f>I57*(IF(L53&gt;0,$N$8,$N$5))</f>
        <v>1484467.4961641538</v>
      </c>
      <c r="K57" s="219">
        <f>(1+(IF(L53&gt;0,$N$8,$N$5)))*K53+J57</f>
        <v>19850784.317616139</v>
      </c>
      <c r="L57" s="228">
        <f>I57+K57</f>
        <v>112688026.10399222</v>
      </c>
      <c r="M57" s="45"/>
    </row>
    <row r="58" spans="1:13" x14ac:dyDescent="0.2">
      <c r="A58" s="214">
        <v>2032</v>
      </c>
      <c r="B58" s="215">
        <f>'Population Projections'!$F$8/5</f>
        <v>565</v>
      </c>
      <c r="C58" s="216" t="s">
        <v>322</v>
      </c>
      <c r="D58" s="217">
        <f>VLOOKUP(A58,'Escalation Factors'!$E$17:$F$44,2,FALSE)</f>
        <v>1.2168939104187166</v>
      </c>
      <c r="E58" s="227">
        <f>B58*D58*'2025 Wastewater - Charge'!$E$40</f>
        <v>7402320.717586291</v>
      </c>
      <c r="F58" s="228"/>
      <c r="G58" s="229"/>
      <c r="H58" s="228"/>
      <c r="I58" s="228"/>
      <c r="J58" s="228"/>
      <c r="K58" s="219"/>
      <c r="L58" s="228"/>
      <c r="M58" s="45"/>
    </row>
    <row r="59" spans="1:13" x14ac:dyDescent="0.2">
      <c r="A59" s="214">
        <v>2032</v>
      </c>
      <c r="B59" s="215">
        <f>'Population Projections'!$G$8/5</f>
        <v>1607.8</v>
      </c>
      <c r="C59" s="216" t="s">
        <v>323</v>
      </c>
      <c r="D59" s="217">
        <f>VLOOKUP(A59,'Escalation Factors'!$E$17:$F$44,2,FALSE)</f>
        <v>1.2168939104187166</v>
      </c>
      <c r="E59" s="227">
        <f>B59*D59*'2025 Wastewater - Charge'!$E$42</f>
        <v>14147808.908680113</v>
      </c>
      <c r="F59" s="228"/>
      <c r="G59" s="229"/>
      <c r="H59" s="228"/>
      <c r="I59" s="228"/>
      <c r="J59" s="228"/>
      <c r="K59" s="219"/>
      <c r="L59" s="228"/>
      <c r="M59" s="45"/>
    </row>
    <row r="60" spans="1:13" x14ac:dyDescent="0.2">
      <c r="A60" s="214">
        <v>2032</v>
      </c>
      <c r="B60" s="215">
        <f>'Population Projections'!$J$8/5</f>
        <v>2086443.6</v>
      </c>
      <c r="C60" s="216" t="s">
        <v>324</v>
      </c>
      <c r="D60" s="217">
        <f>VLOOKUP(A60,'Escalation Factors'!$E$17:$F$44,2,FALSE)</f>
        <v>1.2168939104187166</v>
      </c>
      <c r="E60" s="227">
        <f>B60*D60*'2025 Wastewater - Charge'!$E$48</f>
        <v>12538689.269484138</v>
      </c>
      <c r="F60" s="228"/>
      <c r="G60" s="229"/>
      <c r="H60" s="228"/>
      <c r="I60" s="228"/>
      <c r="J60" s="228"/>
      <c r="K60" s="219"/>
      <c r="L60" s="228"/>
      <c r="M60" s="45"/>
    </row>
    <row r="61" spans="1:13" x14ac:dyDescent="0.2">
      <c r="A61" s="71">
        <v>2032</v>
      </c>
      <c r="B61" s="222"/>
      <c r="C61" s="223"/>
      <c r="D61" s="137"/>
      <c r="E61" s="200">
        <f>SUBTOTAL(9,E58:E60)</f>
        <v>34088818.895750545</v>
      </c>
      <c r="F61" s="228">
        <f>F57+E61</f>
        <v>380957334.45709252</v>
      </c>
      <c r="G61" s="229">
        <f>'2025 Wastewater - Phase Costs'!$S$91/5</f>
        <v>42783774.11076849</v>
      </c>
      <c r="H61" s="228">
        <f>G61+H57</f>
        <v>296815047.88573438</v>
      </c>
      <c r="I61" s="228">
        <f>F61-H61</f>
        <v>84142286.571358144</v>
      </c>
      <c r="J61" s="228">
        <f>I61*(IF(L57&gt;0,$N$8,$N$5))</f>
        <v>1345435.1622760168</v>
      </c>
      <c r="K61" s="219">
        <f>(1+(IF(L57&gt;0,$N$8,$N$5)))*K57+J61</f>
        <v>21513633.521130838</v>
      </c>
      <c r="L61" s="228">
        <f>I61+K61</f>
        <v>105655920.09248897</v>
      </c>
      <c r="M61" s="45"/>
    </row>
    <row r="62" spans="1:13" x14ac:dyDescent="0.2">
      <c r="A62" s="214">
        <v>2033</v>
      </c>
      <c r="B62" s="215">
        <f>'Population Projections'!$F$8/5</f>
        <v>565</v>
      </c>
      <c r="C62" s="216" t="s">
        <v>322</v>
      </c>
      <c r="D62" s="217">
        <f>VLOOKUP(A62,'Escalation Factors'!$E$17:$F$44,2,FALSE)</f>
        <v>1.2515023732310251</v>
      </c>
      <c r="E62" s="227">
        <f>B62*D62*'2025 Wastewater - Charge'!$E$40</f>
        <v>7612842.7187944464</v>
      </c>
      <c r="F62" s="228"/>
      <c r="G62" s="229"/>
      <c r="H62" s="228"/>
      <c r="I62" s="228"/>
      <c r="J62" s="228"/>
      <c r="K62" s="219"/>
      <c r="L62" s="228"/>
      <c r="M62" s="45"/>
    </row>
    <row r="63" spans="1:13" x14ac:dyDescent="0.2">
      <c r="A63" s="214">
        <v>2033</v>
      </c>
      <c r="B63" s="215">
        <f>'Population Projections'!$G$8/5</f>
        <v>1607.8</v>
      </c>
      <c r="C63" s="216" t="s">
        <v>323</v>
      </c>
      <c r="D63" s="217">
        <f>VLOOKUP(A63,'Escalation Factors'!$E$17:$F$44,2,FALSE)</f>
        <v>1.2515023732310251</v>
      </c>
      <c r="E63" s="227">
        <f>B63*D63*'2025 Wastewater - Charge'!$E$42</f>
        <v>14550172.594042977</v>
      </c>
      <c r="F63" s="228"/>
      <c r="G63" s="229"/>
      <c r="H63" s="228"/>
      <c r="I63" s="228"/>
      <c r="J63" s="228"/>
      <c r="K63" s="219"/>
      <c r="L63" s="228"/>
      <c r="M63" s="45"/>
    </row>
    <row r="64" spans="1:13" x14ac:dyDescent="0.2">
      <c r="A64" s="214">
        <v>2033</v>
      </c>
      <c r="B64" s="215">
        <f>'Population Projections'!$J$8/5</f>
        <v>2086443.6</v>
      </c>
      <c r="C64" s="216" t="s">
        <v>324</v>
      </c>
      <c r="D64" s="217">
        <f>VLOOKUP(A64,'Escalation Factors'!$E$17:$F$44,2,FALSE)</f>
        <v>1.2515023732310251</v>
      </c>
      <c r="E64" s="227">
        <f>B64*D64*'2025 Wastewater - Charge'!$E$48</f>
        <v>12895289.592308268</v>
      </c>
      <c r="F64" s="228"/>
      <c r="G64" s="229"/>
      <c r="H64" s="228"/>
      <c r="I64" s="228"/>
      <c r="J64" s="228"/>
      <c r="K64" s="219"/>
      <c r="L64" s="228"/>
      <c r="M64" s="45"/>
    </row>
    <row r="65" spans="1:13" x14ac:dyDescent="0.2">
      <c r="A65" s="71">
        <v>2033</v>
      </c>
      <c r="B65" s="222"/>
      <c r="C65" s="223"/>
      <c r="D65" s="137"/>
      <c r="E65" s="200">
        <f>SUBTOTAL(9,E62:E64)</f>
        <v>35058304.90514569</v>
      </c>
      <c r="F65" s="228">
        <f>F61+E65</f>
        <v>416015639.36223823</v>
      </c>
      <c r="G65" s="229">
        <f>'2025 Wastewater - Phase Costs'!$S$91/5</f>
        <v>42783774.11076849</v>
      </c>
      <c r="H65" s="228">
        <f>G65+H61</f>
        <v>339598821.99650288</v>
      </c>
      <c r="I65" s="228">
        <f>F65-H65</f>
        <v>76416817.365735352</v>
      </c>
      <c r="J65" s="228">
        <f>I65*(IF(L61&gt;0,$N$8,$N$5))</f>
        <v>1221904.9096781083</v>
      </c>
      <c r="K65" s="219">
        <f>(1+(IF(L61&gt;0,$N$8,$N$5)))*K61+J65</f>
        <v>23079541.430811826</v>
      </c>
      <c r="L65" s="228">
        <f>I65+K65</f>
        <v>99496358.796547174</v>
      </c>
      <c r="M65" s="45"/>
    </row>
    <row r="66" spans="1:13" x14ac:dyDescent="0.2">
      <c r="A66" s="214">
        <v>2034</v>
      </c>
      <c r="B66" s="215">
        <f>'Population Projections'!$F$8/5</f>
        <v>565</v>
      </c>
      <c r="C66" s="216" t="s">
        <v>322</v>
      </c>
      <c r="D66" s="217">
        <f>VLOOKUP(A66,'Escalation Factors'!$E$17:$F$44,2,FALSE)</f>
        <v>1.2870951007257154</v>
      </c>
      <c r="E66" s="227">
        <f>B66*D66*'2025 Wastewater - Charge'!$E$40</f>
        <v>7829351.9657169599</v>
      </c>
      <c r="F66" s="228"/>
      <c r="G66" s="229"/>
      <c r="H66" s="228"/>
      <c r="I66" s="228"/>
      <c r="J66" s="228"/>
      <c r="K66" s="219"/>
      <c r="L66" s="228"/>
      <c r="M66" s="45"/>
    </row>
    <row r="67" spans="1:13" x14ac:dyDescent="0.2">
      <c r="A67" s="214">
        <v>2034</v>
      </c>
      <c r="B67" s="215">
        <f>'Population Projections'!$G$8/5</f>
        <v>1607.8</v>
      </c>
      <c r="C67" s="216" t="s">
        <v>323</v>
      </c>
      <c r="D67" s="217">
        <f>VLOOKUP(A67,'Escalation Factors'!$E$17:$F$44,2,FALSE)</f>
        <v>1.2870951007257154</v>
      </c>
      <c r="E67" s="227">
        <f>B67*D67*'2025 Wastewater - Charge'!$E$42</f>
        <v>14963979.50261756</v>
      </c>
      <c r="F67" s="228"/>
      <c r="G67" s="229"/>
      <c r="H67" s="228"/>
      <c r="I67" s="228"/>
      <c r="J67" s="228"/>
      <c r="K67" s="219"/>
      <c r="L67" s="228"/>
      <c r="M67" s="45"/>
    </row>
    <row r="68" spans="1:13" x14ac:dyDescent="0.2">
      <c r="A68" s="214">
        <v>2034</v>
      </c>
      <c r="B68" s="215">
        <f>'Population Projections'!$J$8/5</f>
        <v>2086443.6</v>
      </c>
      <c r="C68" s="216" t="s">
        <v>324</v>
      </c>
      <c r="D68" s="217">
        <f>VLOOKUP(A68,'Escalation Factors'!$E$17:$F$44,2,FALSE)</f>
        <v>1.2870951007257154</v>
      </c>
      <c r="E68" s="227">
        <f>B68*D68*'2025 Wastewater - Charge'!$E$48</f>
        <v>13262031.628313515</v>
      </c>
      <c r="F68" s="228"/>
      <c r="G68" s="229"/>
      <c r="H68" s="228"/>
      <c r="I68" s="228"/>
      <c r="J68" s="228"/>
      <c r="K68" s="219"/>
      <c r="L68" s="228"/>
      <c r="M68" s="45"/>
    </row>
    <row r="69" spans="1:13" x14ac:dyDescent="0.2">
      <c r="A69" s="71">
        <v>2034</v>
      </c>
      <c r="B69" s="222"/>
      <c r="C69" s="223"/>
      <c r="D69" s="137"/>
      <c r="E69" s="200">
        <f>SUBTOTAL(9,E66:E68)</f>
        <v>36055363.096648037</v>
      </c>
      <c r="F69" s="228">
        <f>F65+E69</f>
        <v>452071002.45888627</v>
      </c>
      <c r="G69" s="229">
        <f>'2025 Wastewater - Phase Costs'!$S$91/5</f>
        <v>42783774.11076849</v>
      </c>
      <c r="H69" s="228">
        <f>G69+H65</f>
        <v>382382596.10727137</v>
      </c>
      <c r="I69" s="228">
        <f>F69-H69</f>
        <v>69688406.351614892</v>
      </c>
      <c r="J69" s="228">
        <f>I69*(IF(L65&gt;0,$N$8,$N$5))</f>
        <v>1114317.6175623222</v>
      </c>
      <c r="K69" s="219">
        <f>(1+(IF(L65&gt;0,$N$8,$N$5)))*K65+J69</f>
        <v>24562900.91585283</v>
      </c>
      <c r="L69" s="228">
        <f>I69+K69</f>
        <v>94251307.267467722</v>
      </c>
      <c r="M69" s="45"/>
    </row>
    <row r="70" spans="1:13" x14ac:dyDescent="0.2">
      <c r="A70" s="214">
        <v>2035</v>
      </c>
      <c r="B70" s="215">
        <f>'Population Projections'!$F$8/5</f>
        <v>565</v>
      </c>
      <c r="C70" s="216" t="s">
        <v>322</v>
      </c>
      <c r="D70" s="217">
        <f>VLOOKUP(A70,'Escalation Factors'!$E$17:$F$44,2,FALSE)</f>
        <v>1.3237000853903549</v>
      </c>
      <c r="E70" s="227">
        <f>B70*D70*'2025 Wastewater - Charge'!$E$40</f>
        <v>8052018.7356219506</v>
      </c>
      <c r="F70" s="228"/>
      <c r="G70" s="229"/>
      <c r="H70" s="228"/>
      <c r="I70" s="228"/>
      <c r="J70" s="228"/>
      <c r="K70" s="219"/>
      <c r="L70" s="228"/>
      <c r="M70" s="45"/>
    </row>
    <row r="71" spans="1:13" x14ac:dyDescent="0.2">
      <c r="A71" s="214">
        <v>2035</v>
      </c>
      <c r="B71" s="215">
        <f>'Population Projections'!$G$8/5</f>
        <v>1607.8</v>
      </c>
      <c r="C71" s="216" t="s">
        <v>323</v>
      </c>
      <c r="D71" s="217">
        <f>VLOOKUP(A71,'Escalation Factors'!$E$17:$F$44,2,FALSE)</f>
        <v>1.3237000853903549</v>
      </c>
      <c r="E71" s="227">
        <f>B71*D71*'2025 Wastewater - Charge'!$E$42</f>
        <v>15389555.079672003</v>
      </c>
      <c r="F71" s="228"/>
      <c r="G71" s="229"/>
      <c r="H71" s="228"/>
      <c r="I71" s="228"/>
      <c r="J71" s="228"/>
      <c r="K71" s="219"/>
      <c r="L71" s="228"/>
      <c r="M71" s="45"/>
    </row>
    <row r="72" spans="1:13" x14ac:dyDescent="0.2">
      <c r="A72" s="214">
        <v>2035</v>
      </c>
      <c r="B72" s="215">
        <f>'Population Projections'!$J$8/5</f>
        <v>2086443.6</v>
      </c>
      <c r="C72" s="216" t="s">
        <v>324</v>
      </c>
      <c r="D72" s="217">
        <f>VLOOKUP(A72,'Escalation Factors'!$E$17:$F$44,2,FALSE)</f>
        <v>1.3237000853903549</v>
      </c>
      <c r="E72" s="227">
        <f>B72*D72*'2025 Wastewater - Charge'!$E$48</f>
        <v>13639203.807822753</v>
      </c>
      <c r="F72" s="228"/>
      <c r="G72" s="229"/>
      <c r="H72" s="228"/>
      <c r="I72" s="228"/>
      <c r="J72" s="228"/>
      <c r="K72" s="219"/>
      <c r="L72" s="228"/>
      <c r="M72" s="45"/>
    </row>
    <row r="73" spans="1:13" x14ac:dyDescent="0.2">
      <c r="A73" s="71">
        <v>2035</v>
      </c>
      <c r="B73" s="222"/>
      <c r="C73" s="223"/>
      <c r="D73" s="137"/>
      <c r="E73" s="200">
        <f>SUBTOTAL(9,E70:E72)</f>
        <v>37080777.623116702</v>
      </c>
      <c r="F73" s="228">
        <f>F69+E73</f>
        <v>489151780.082003</v>
      </c>
      <c r="G73" s="229">
        <f>'2025 Wastewater - Phase Costs'!$S$91/5</f>
        <v>42783774.11076849</v>
      </c>
      <c r="H73" s="228">
        <f>G73+H69</f>
        <v>425166370.21803987</v>
      </c>
      <c r="I73" s="228">
        <f>F73-H73</f>
        <v>63985409.863963127</v>
      </c>
      <c r="J73" s="228">
        <f>I73*(IF(L69&gt;0,$N$8,$N$5))</f>
        <v>1023126.7037247705</v>
      </c>
      <c r="K73" s="219">
        <f>(1+(IF(L69&gt;0,$N$8,$N$5)))*K69+J73</f>
        <v>25978788.405222088</v>
      </c>
      <c r="L73" s="228">
        <f>I73+K73</f>
        <v>89964198.269185215</v>
      </c>
      <c r="M73" s="45"/>
    </row>
    <row r="74" spans="1:13" x14ac:dyDescent="0.2">
      <c r="A74" s="214">
        <v>2036</v>
      </c>
      <c r="B74" s="215">
        <f>'Population Projections'!$F$9/5</f>
        <v>604.79999999999995</v>
      </c>
      <c r="C74" s="216" t="s">
        <v>322</v>
      </c>
      <c r="D74" s="217">
        <f>VLOOKUP(A74,'Escalation Factors'!$E$17:$F$44,2,FALSE)</f>
        <v>1.3613461158188567</v>
      </c>
      <c r="E74" s="227">
        <f>B74*D74*'2025 Wastewater - Charge'!$E$40</f>
        <v>8864353.5861777812</v>
      </c>
      <c r="F74" s="228"/>
      <c r="G74" s="229"/>
      <c r="H74" s="228"/>
      <c r="I74" s="228"/>
      <c r="J74" s="228"/>
      <c r="K74" s="219"/>
      <c r="L74" s="228"/>
      <c r="M74" s="45"/>
    </row>
    <row r="75" spans="1:13" x14ac:dyDescent="0.2">
      <c r="A75" s="214">
        <v>2036</v>
      </c>
      <c r="B75" s="215">
        <f>'Population Projections'!$G$9/5</f>
        <v>1721.4</v>
      </c>
      <c r="C75" s="216" t="s">
        <v>323</v>
      </c>
      <c r="D75" s="217">
        <f>VLOOKUP(A75,'Escalation Factors'!$E$17:$F$44,2,FALSE)</f>
        <v>1.3613461158188567</v>
      </c>
      <c r="E75" s="227">
        <f>B75*D75*'2025 Wastewater - Charge'!$E$42</f>
        <v>16945516.017286818</v>
      </c>
      <c r="F75" s="228"/>
      <c r="G75" s="229"/>
      <c r="H75" s="228"/>
      <c r="I75" s="228"/>
      <c r="J75" s="228"/>
      <c r="K75" s="219"/>
      <c r="L75" s="228"/>
      <c r="M75" s="45"/>
    </row>
    <row r="76" spans="1:13" x14ac:dyDescent="0.2">
      <c r="A76" s="214">
        <v>2036</v>
      </c>
      <c r="B76" s="215">
        <f>'Population Projections'!$J$9/5</f>
        <v>2233741</v>
      </c>
      <c r="C76" s="216" t="s">
        <v>324</v>
      </c>
      <c r="D76" s="217">
        <f>VLOOKUP(A76,'Escalation Factors'!$E$17:$F$44,2,FALSE)</f>
        <v>1.3613461158188567</v>
      </c>
      <c r="E76" s="227">
        <f>B76*D76*'2025 Wastewater - Charge'!$E$48</f>
        <v>15017379.120826459</v>
      </c>
      <c r="F76" s="228"/>
      <c r="G76" s="229"/>
      <c r="H76" s="228"/>
      <c r="I76" s="228"/>
      <c r="J76" s="228"/>
      <c r="K76" s="219"/>
      <c r="L76" s="228"/>
      <c r="M76" s="45"/>
    </row>
    <row r="77" spans="1:13" x14ac:dyDescent="0.2">
      <c r="A77" s="71">
        <v>2036</v>
      </c>
      <c r="B77" s="222"/>
      <c r="C77" s="223"/>
      <c r="D77" s="137"/>
      <c r="E77" s="200">
        <f>SUBTOTAL(9,E74:E76)</f>
        <v>40827248.724291056</v>
      </c>
      <c r="F77" s="228">
        <f>F73+E77</f>
        <v>529979028.80629408</v>
      </c>
      <c r="G77" s="229">
        <f>'2025 Wastewater - Phase Costs'!$S$107/5</f>
        <v>65607541.27670069</v>
      </c>
      <c r="H77" s="228">
        <f>G77+H73</f>
        <v>490773911.49474055</v>
      </c>
      <c r="I77" s="228">
        <f>F77-H77</f>
        <v>39205117.311553538</v>
      </c>
      <c r="J77" s="228">
        <f>I77*(IF(L73&gt;0,$N$8,$N$5))</f>
        <v>626889.82581174106</v>
      </c>
      <c r="K77" s="219">
        <f>(1+(IF(L73&gt;0,$N$8,$N$5)))*K73+J77</f>
        <v>27021079.057633329</v>
      </c>
      <c r="L77" s="228">
        <f>I77+K77</f>
        <v>66226196.369186863</v>
      </c>
      <c r="M77" s="45"/>
    </row>
    <row r="78" spans="1:13" x14ac:dyDescent="0.2">
      <c r="A78" s="214">
        <v>2037</v>
      </c>
      <c r="B78" s="215">
        <f>'Population Projections'!$F$9/5</f>
        <v>604.79999999999995</v>
      </c>
      <c r="C78" s="216" t="s">
        <v>322</v>
      </c>
      <c r="D78" s="217">
        <f>VLOOKUP(A78,'Escalation Factors'!$E$17:$F$44,2,FALSE)</f>
        <v>1.400062799352745</v>
      </c>
      <c r="E78" s="227">
        <f>B78*D78*'2025 Wastewater - Charge'!$E$40</f>
        <v>9116455.8021686785</v>
      </c>
      <c r="F78" s="228"/>
      <c r="G78" s="229"/>
      <c r="H78" s="228"/>
      <c r="I78" s="228"/>
      <c r="J78" s="228"/>
      <c r="K78" s="219"/>
      <c r="L78" s="228"/>
      <c r="M78" s="45"/>
    </row>
    <row r="79" spans="1:13" x14ac:dyDescent="0.2">
      <c r="A79" s="214">
        <v>2037</v>
      </c>
      <c r="B79" s="215">
        <f>'Population Projections'!$G$9/5</f>
        <v>1721.4</v>
      </c>
      <c r="C79" s="216" t="s">
        <v>323</v>
      </c>
      <c r="D79" s="217">
        <f>VLOOKUP(A79,'Escalation Factors'!$E$17:$F$44,2,FALSE)</f>
        <v>1.400062799352745</v>
      </c>
      <c r="E79" s="227">
        <f>B79*D79*'2025 Wastewater - Charge'!$E$42</f>
        <v>17427446.492818452</v>
      </c>
      <c r="F79" s="228"/>
      <c r="G79" s="229"/>
      <c r="H79" s="228"/>
      <c r="I79" s="228"/>
      <c r="J79" s="228"/>
      <c r="K79" s="219"/>
      <c r="L79" s="228"/>
      <c r="M79" s="45"/>
    </row>
    <row r="80" spans="1:13" x14ac:dyDescent="0.2">
      <c r="A80" s="214">
        <v>2037</v>
      </c>
      <c r="B80" s="215">
        <f>'Population Projections'!$J$9/5</f>
        <v>2233741</v>
      </c>
      <c r="C80" s="216" t="s">
        <v>324</v>
      </c>
      <c r="D80" s="217">
        <f>VLOOKUP(A80,'Escalation Factors'!$E$17:$F$44,2,FALSE)</f>
        <v>1.400062799352745</v>
      </c>
      <c r="E80" s="227">
        <f>B80*D80*'2025 Wastewater - Charge'!$E$48</f>
        <v>15444473.383022763</v>
      </c>
      <c r="F80" s="228"/>
      <c r="G80" s="229"/>
      <c r="H80" s="228"/>
      <c r="I80" s="228"/>
      <c r="J80" s="228"/>
      <c r="K80" s="219"/>
      <c r="L80" s="228"/>
      <c r="M80" s="45"/>
    </row>
    <row r="81" spans="1:14" x14ac:dyDescent="0.2">
      <c r="A81" s="71">
        <v>2037</v>
      </c>
      <c r="B81" s="222"/>
      <c r="C81" s="223"/>
      <c r="D81" s="137"/>
      <c r="E81" s="200">
        <f>SUBTOTAL(9,E78:E80)</f>
        <v>41988375.678009897</v>
      </c>
      <c r="F81" s="228">
        <f>F77+E81</f>
        <v>571967404.48430395</v>
      </c>
      <c r="G81" s="229">
        <f>'2025 Wastewater - Phase Costs'!$S$107/5</f>
        <v>65607541.27670069</v>
      </c>
      <c r="H81" s="228">
        <f>G81+H77</f>
        <v>556381452.77144122</v>
      </c>
      <c r="I81" s="228">
        <f>F81-H81</f>
        <v>15585951.71286273</v>
      </c>
      <c r="J81" s="228">
        <f>I81*(IF(L77&gt;0,$N$8,$N$5))</f>
        <v>249219.36788867507</v>
      </c>
      <c r="K81" s="219">
        <f>(1+(IF(L77&gt;0,$N$8,$N$5)))*K77+J81</f>
        <v>27702365.47965356</v>
      </c>
      <c r="L81" s="228">
        <f>I81+K81</f>
        <v>43288317.19251629</v>
      </c>
      <c r="M81" s="45"/>
    </row>
    <row r="82" spans="1:14" x14ac:dyDescent="0.2">
      <c r="A82" s="214">
        <v>2038</v>
      </c>
      <c r="B82" s="215">
        <f>'Population Projections'!$F$9/5</f>
        <v>604.79999999999995</v>
      </c>
      <c r="C82" s="216" t="s">
        <v>322</v>
      </c>
      <c r="D82" s="217">
        <f>VLOOKUP(A82,'Escalation Factors'!$E$17:$F$44,2,FALSE)</f>
        <v>1.439880585366337</v>
      </c>
      <c r="E82" s="227">
        <f>B82*D82*'2025 Wastewater - Charge'!$E$40</f>
        <v>9375727.8051823545</v>
      </c>
      <c r="F82" s="228"/>
      <c r="G82" s="229"/>
      <c r="H82" s="228"/>
      <c r="I82" s="228"/>
      <c r="J82" s="228"/>
      <c r="K82" s="219"/>
      <c r="L82" s="228"/>
      <c r="M82" s="45"/>
    </row>
    <row r="83" spans="1:14" x14ac:dyDescent="0.2">
      <c r="A83" s="214">
        <v>2038</v>
      </c>
      <c r="B83" s="215">
        <f>'Population Projections'!$G$9/5</f>
        <v>1721.4</v>
      </c>
      <c r="C83" s="216" t="s">
        <v>323</v>
      </c>
      <c r="D83" s="217">
        <f>VLOOKUP(A83,'Escalation Factors'!$E$17:$F$44,2,FALSE)</f>
        <v>1.439880585366337</v>
      </c>
      <c r="E83" s="227">
        <f>B83*D83*'2025 Wastewater - Charge'!$E$42</f>
        <v>17923083.07107421</v>
      </c>
      <c r="F83" s="228"/>
      <c r="G83" s="229"/>
      <c r="H83" s="228"/>
      <c r="I83" s="228"/>
      <c r="J83" s="228"/>
      <c r="K83" s="219"/>
      <c r="L83" s="228"/>
      <c r="M83" s="45"/>
    </row>
    <row r="84" spans="1:14" x14ac:dyDescent="0.2">
      <c r="A84" s="214">
        <v>2038</v>
      </c>
      <c r="B84" s="215">
        <f>'Population Projections'!$J$9/5</f>
        <v>2233741</v>
      </c>
      <c r="C84" s="216" t="s">
        <v>324</v>
      </c>
      <c r="D84" s="217">
        <f>VLOOKUP(A84,'Escalation Factors'!$E$17:$F$44,2,FALSE)</f>
        <v>1.439880585366337</v>
      </c>
      <c r="E84" s="227">
        <f>B84*D84*'2025 Wastewater - Charge'!$E$48</f>
        <v>15883714.206035931</v>
      </c>
      <c r="F84" s="228"/>
      <c r="G84" s="229"/>
      <c r="H84" s="228"/>
      <c r="I84" s="228"/>
      <c r="J84" s="228"/>
      <c r="K84" s="219"/>
      <c r="L84" s="228"/>
      <c r="M84" s="45"/>
    </row>
    <row r="85" spans="1:14" x14ac:dyDescent="0.2">
      <c r="A85" s="71">
        <v>2038</v>
      </c>
      <c r="B85" s="222"/>
      <c r="C85" s="223"/>
      <c r="D85" s="137"/>
      <c r="E85" s="200">
        <f>SUBTOTAL(9,E82:E84)</f>
        <v>43182525.082292497</v>
      </c>
      <c r="F85" s="228">
        <f>F81+E85</f>
        <v>615149929.56659651</v>
      </c>
      <c r="G85" s="229">
        <f>'2025 Wastewater - Phase Costs'!$S$107/5</f>
        <v>65607541.27670069</v>
      </c>
      <c r="H85" s="228">
        <f>G85+H81</f>
        <v>621988994.04814196</v>
      </c>
      <c r="I85" s="228">
        <f>F85-H85</f>
        <v>-6839064.4815454483</v>
      </c>
      <c r="J85" s="228">
        <f>I85*(IF(L81&gt;0,$N$8,$N$5))</f>
        <v>-109356.64105991172</v>
      </c>
      <c r="K85" s="219">
        <f>(1+(IF(L81&gt;0,$N$8,$N$5)))*K81+J85</f>
        <v>28035969.662613306</v>
      </c>
      <c r="L85" s="228">
        <f>I85+K85</f>
        <v>21196905.181067858</v>
      </c>
      <c r="M85" s="45"/>
    </row>
    <row r="86" spans="1:14" x14ac:dyDescent="0.2">
      <c r="A86" s="214">
        <v>2039</v>
      </c>
      <c r="B86" s="215">
        <f>'Population Projections'!$F$9/5</f>
        <v>604.79999999999995</v>
      </c>
      <c r="C86" s="216" t="s">
        <v>322</v>
      </c>
      <c r="D86" s="217">
        <f>VLOOKUP(A86,'Escalation Factors'!$E$17:$F$44,2,FALSE)</f>
        <v>1.4808307892141559</v>
      </c>
      <c r="E86" s="227">
        <f>B86*D86*'2025 Wastewater - Charge'!$E$40</f>
        <v>9642373.5039617419</v>
      </c>
      <c r="F86" s="228"/>
      <c r="G86" s="229"/>
      <c r="H86" s="228"/>
      <c r="I86" s="228"/>
      <c r="J86" s="228"/>
      <c r="K86" s="219"/>
      <c r="L86" s="228"/>
      <c r="M86" s="45"/>
    </row>
    <row r="87" spans="1:14" x14ac:dyDescent="0.2">
      <c r="A87" s="214">
        <v>2039</v>
      </c>
      <c r="B87" s="215">
        <f>'Population Projections'!$G$9/5</f>
        <v>1721.4</v>
      </c>
      <c r="C87" s="216" t="s">
        <v>323</v>
      </c>
      <c r="D87" s="217">
        <f>VLOOKUP(A87,'Escalation Factors'!$E$17:$F$44,2,FALSE)</f>
        <v>1.4808307892141559</v>
      </c>
      <c r="E87" s="227">
        <f>B87*D87*'2025 Wastewater - Charge'!$E$42</f>
        <v>18432815.553615563</v>
      </c>
      <c r="F87" s="228"/>
      <c r="G87" s="229"/>
      <c r="H87" s="228"/>
      <c r="I87" s="228"/>
      <c r="J87" s="228"/>
      <c r="K87" s="219"/>
      <c r="L87" s="228"/>
      <c r="M87" s="45"/>
    </row>
    <row r="88" spans="1:14" x14ac:dyDescent="0.2">
      <c r="A88" s="214">
        <v>2039</v>
      </c>
      <c r="B88" s="215">
        <f>'Population Projections'!$J$9/5</f>
        <v>2233741</v>
      </c>
      <c r="C88" s="216" t="s">
        <v>324</v>
      </c>
      <c r="D88" s="217">
        <f>VLOOKUP(A88,'Escalation Factors'!$E$17:$F$44,2,FALSE)</f>
        <v>1.4808307892141559</v>
      </c>
      <c r="E88" s="227">
        <f>B88*D88*'2025 Wastewater - Charge'!$E$48</f>
        <v>16335447.038055595</v>
      </c>
      <c r="F88" s="228"/>
      <c r="G88" s="229"/>
      <c r="H88" s="228"/>
      <c r="I88" s="228"/>
      <c r="J88" s="228"/>
      <c r="K88" s="219"/>
      <c r="L88" s="228"/>
      <c r="M88" s="45"/>
    </row>
    <row r="89" spans="1:14" ht="13.5" thickBot="1" x14ac:dyDescent="0.25">
      <c r="A89" s="230">
        <v>2039</v>
      </c>
      <c r="B89" s="231"/>
      <c r="C89" s="232"/>
      <c r="D89" s="233"/>
      <c r="E89" s="234">
        <f>SUBTOTAL(9,E86:E88)</f>
        <v>44410636.095632896</v>
      </c>
      <c r="F89" s="235">
        <f>F85+E89</f>
        <v>659560565.66222942</v>
      </c>
      <c r="G89" s="236">
        <f>'2025 Wastewater - Phase Costs'!$S$107/5</f>
        <v>65607541.27670069</v>
      </c>
      <c r="H89" s="235">
        <f>G89+H85</f>
        <v>687596535.32484269</v>
      </c>
      <c r="I89" s="235">
        <f>F89-H89</f>
        <v>-28035969.662613273</v>
      </c>
      <c r="J89" s="235">
        <f>I89*(IF(L85&gt;0,$N$8,$N$5))</f>
        <v>-448295.15490518627</v>
      </c>
      <c r="K89" s="256">
        <f>(1+(IF(L85&gt;0,$N$8,$N$5)))*K85+J89</f>
        <v>28035969.662613306</v>
      </c>
      <c r="L89" s="235">
        <f>I89+K89</f>
        <v>3.3527612686157227E-8</v>
      </c>
      <c r="M89" s="45"/>
    </row>
    <row r="90" spans="1:14" ht="13.5" thickTop="1" x14ac:dyDescent="0.2">
      <c r="A90" s="71"/>
      <c r="B90" s="222"/>
      <c r="C90" s="223"/>
      <c r="D90" s="137"/>
      <c r="E90" s="200"/>
      <c r="F90" s="228"/>
      <c r="G90" s="229"/>
      <c r="H90" s="228"/>
      <c r="I90" s="228"/>
      <c r="J90" s="228"/>
      <c r="K90" s="219"/>
      <c r="L90" s="228"/>
      <c r="M90" s="45"/>
    </row>
    <row r="91" spans="1:14" x14ac:dyDescent="0.2">
      <c r="A91" s="34" t="s">
        <v>248</v>
      </c>
      <c r="B91" s="241"/>
      <c r="C91" s="242"/>
      <c r="D91" s="243"/>
      <c r="E91" s="244">
        <f>SUBTOTAL(9,E8:E89)</f>
        <v>659560565.66222942</v>
      </c>
      <c r="F91" s="244"/>
      <c r="G91" s="244">
        <f>SUBTOTAL(9,G8:G89)</f>
        <v>687596535.32484269</v>
      </c>
      <c r="H91" s="244"/>
      <c r="I91" s="244"/>
      <c r="J91" s="245"/>
      <c r="K91" s="246" t="s">
        <v>325</v>
      </c>
      <c r="L91" s="240">
        <v>-86817235.63457109</v>
      </c>
      <c r="M91" s="221"/>
    </row>
    <row r="92" spans="1:14" x14ac:dyDescent="0.2">
      <c r="A92" s="45"/>
      <c r="B92" s="237"/>
      <c r="C92" s="238"/>
      <c r="D92" s="137"/>
      <c r="E92" s="200"/>
      <c r="F92" s="239"/>
      <c r="G92" s="239"/>
      <c r="H92" s="239"/>
      <c r="I92" s="239"/>
      <c r="J92" s="239"/>
      <c r="M92" s="221"/>
    </row>
    <row r="93" spans="1:14" x14ac:dyDescent="0.2">
      <c r="A93" s="45"/>
      <c r="B93" s="247"/>
      <c r="C93" s="238"/>
      <c r="D93" s="248"/>
      <c r="E93" s="200"/>
      <c r="F93" s="239"/>
      <c r="G93" s="198"/>
      <c r="H93" s="239"/>
      <c r="I93" s="239"/>
      <c r="M93" s="221"/>
    </row>
    <row r="94" spans="1:14" x14ac:dyDescent="0.2">
      <c r="A94" s="45"/>
      <c r="B94" s="247"/>
      <c r="C94" s="238"/>
      <c r="D94" s="248"/>
      <c r="E94" s="221"/>
      <c r="F94" s="250"/>
      <c r="G94" s="250"/>
      <c r="H94" s="239"/>
      <c r="I94" s="239"/>
      <c r="J94" s="239"/>
      <c r="K94" s="240"/>
      <c r="L94" s="240"/>
      <c r="M94" s="221"/>
    </row>
    <row r="95" spans="1:14" x14ac:dyDescent="0.2">
      <c r="A95" s="45"/>
      <c r="B95" s="247"/>
      <c r="C95" s="238"/>
      <c r="D95" s="249"/>
      <c r="E95" s="221"/>
      <c r="F95" s="250"/>
      <c r="G95" s="250">
        <f>+F89+K89-H89</f>
        <v>0</v>
      </c>
      <c r="H95" s="250" t="s">
        <v>328</v>
      </c>
      <c r="I95" s="239"/>
      <c r="J95" s="239"/>
      <c r="K95" s="240"/>
      <c r="L95" s="240"/>
      <c r="M95" s="221"/>
    </row>
    <row r="96" spans="1:14" x14ac:dyDescent="0.2">
      <c r="A96" s="45"/>
      <c r="B96" s="237"/>
      <c r="C96" s="238"/>
      <c r="D96" s="249"/>
      <c r="E96" s="251"/>
      <c r="F96"/>
      <c r="G96" s="252"/>
      <c r="I96" s="239"/>
      <c r="N96" s="45" t="s">
        <v>326</v>
      </c>
    </row>
    <row r="97" spans="5:8" x14ac:dyDescent="0.2">
      <c r="E97" s="251"/>
      <c r="F97"/>
      <c r="G97" s="252">
        <f>+G91-'2025 Wastewater - Phase Costs'!S114</f>
        <v>0</v>
      </c>
      <c r="H97" s="250" t="s">
        <v>328</v>
      </c>
    </row>
    <row r="98" spans="5:8" x14ac:dyDescent="0.2">
      <c r="E98" s="253"/>
      <c r="F98"/>
      <c r="G98"/>
    </row>
  </sheetData>
  <dataConsolidate/>
  <pageMargins left="0.5" right="0.5" top="0.5" bottom="0.5" header="0" footer="0"/>
  <pageSetup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071F7-EBE5-42EA-A0EF-6C9EE7957EE1}">
  <sheetPr>
    <tabColor theme="4"/>
    <pageSetUpPr fitToPage="1"/>
  </sheetPr>
  <dimension ref="A1:P98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x14ac:dyDescent="0.2"/>
  <cols>
    <col min="1" max="1" width="10.42578125" customWidth="1"/>
    <col min="2" max="2" width="13.42578125" style="193" bestFit="1" customWidth="1"/>
    <col min="3" max="3" width="9" style="194" bestFit="1" customWidth="1"/>
    <col min="4" max="4" width="13.7109375" style="81" bestFit="1" customWidth="1"/>
    <col min="5" max="5" width="17.7109375" bestFit="1" customWidth="1"/>
    <col min="6" max="6" width="17.7109375" style="205" bestFit="1" customWidth="1"/>
    <col min="7" max="7" width="16.7109375" style="205" bestFit="1" customWidth="1"/>
    <col min="8" max="8" width="15.28515625" style="205" bestFit="1" customWidth="1"/>
    <col min="9" max="9" width="17.28515625" style="198" bestFit="1" customWidth="1"/>
    <col min="10" max="10" width="14" style="198" bestFit="1" customWidth="1"/>
    <col min="11" max="11" width="18" style="199" bestFit="1" customWidth="1"/>
    <col min="12" max="12" width="18.28515625" style="199" bestFit="1" customWidth="1"/>
    <col min="14" max="14" width="14.28515625" bestFit="1" customWidth="1"/>
    <col min="16" max="16" width="14.7109375" bestFit="1" customWidth="1"/>
    <col min="17" max="17" width="12" bestFit="1" customWidth="1"/>
    <col min="18" max="18" width="14.7109375" bestFit="1" customWidth="1"/>
  </cols>
  <sheetData>
    <row r="1" spans="1:15" s="6" customFormat="1" ht="23.25" x14ac:dyDescent="0.35">
      <c r="A1" s="1" t="s">
        <v>327</v>
      </c>
      <c r="B1" s="175"/>
      <c r="C1" s="2"/>
      <c r="D1" s="3"/>
      <c r="E1" s="5"/>
      <c r="F1" s="182"/>
      <c r="G1" s="183"/>
      <c r="H1" s="183"/>
      <c r="I1" s="184"/>
      <c r="J1" s="185"/>
      <c r="K1" s="186"/>
      <c r="L1" s="186"/>
    </row>
    <row r="2" spans="1:15" s="15" customFormat="1" ht="18" x14ac:dyDescent="0.25">
      <c r="A2" s="10" t="s">
        <v>299</v>
      </c>
      <c r="B2" s="177"/>
      <c r="C2" s="20"/>
      <c r="D2" s="16"/>
      <c r="E2" s="23"/>
      <c r="F2" s="187"/>
      <c r="G2" s="188"/>
      <c r="H2" s="188"/>
      <c r="I2" s="189"/>
      <c r="J2" s="190"/>
      <c r="K2" s="191"/>
      <c r="L2" s="191"/>
    </row>
    <row r="3" spans="1:15" s="15" customFormat="1" ht="18" x14ac:dyDescent="0.25">
      <c r="A3" s="10" t="s">
        <v>300</v>
      </c>
      <c r="B3" s="177"/>
      <c r="C3" s="20"/>
      <c r="D3" s="16"/>
      <c r="E3" s="23"/>
      <c r="F3" s="187"/>
      <c r="G3" s="188"/>
      <c r="H3" s="188"/>
      <c r="I3" s="189"/>
      <c r="J3" s="190"/>
      <c r="K3" s="191"/>
      <c r="L3" s="191"/>
      <c r="N3" s="192" t="s">
        <v>302</v>
      </c>
    </row>
    <row r="4" spans="1:15" s="15" customFormat="1" ht="18" x14ac:dyDescent="0.25">
      <c r="A4" s="10" t="s">
        <v>301</v>
      </c>
      <c r="B4" s="177"/>
      <c r="C4" s="20"/>
      <c r="D4" s="16"/>
      <c r="E4" s="23"/>
      <c r="F4" s="188"/>
      <c r="G4" s="188"/>
      <c r="H4" s="188"/>
      <c r="I4" s="189"/>
      <c r="J4" s="189"/>
      <c r="K4" s="191"/>
      <c r="L4" s="191"/>
      <c r="N4" s="179">
        <f>'Financial Assumptions'!H8</f>
        <v>2.349E-2</v>
      </c>
    </row>
    <row r="5" spans="1:15" x14ac:dyDescent="0.2">
      <c r="E5" s="195" t="s">
        <v>303</v>
      </c>
      <c r="F5" s="195" t="s">
        <v>303</v>
      </c>
      <c r="G5" s="196" t="s">
        <v>304</v>
      </c>
      <c r="H5" s="196" t="s">
        <v>304</v>
      </c>
      <c r="I5" s="197" t="s">
        <v>305</v>
      </c>
      <c r="O5" s="200"/>
    </row>
    <row r="6" spans="1:15" x14ac:dyDescent="0.2">
      <c r="A6" s="34"/>
      <c r="B6" s="201"/>
      <c r="C6" s="202"/>
      <c r="D6" s="131" t="s">
        <v>306</v>
      </c>
      <c r="E6" s="203" t="s">
        <v>307</v>
      </c>
      <c r="F6" s="204" t="s">
        <v>308</v>
      </c>
      <c r="H6" s="204" t="s">
        <v>308</v>
      </c>
      <c r="J6" s="206" t="s">
        <v>309</v>
      </c>
      <c r="K6" s="206" t="s">
        <v>308</v>
      </c>
      <c r="L6" s="206" t="s">
        <v>248</v>
      </c>
      <c r="M6" s="45"/>
      <c r="N6" s="192" t="s">
        <v>263</v>
      </c>
      <c r="O6" s="200"/>
    </row>
    <row r="7" spans="1:15" ht="14.25" x14ac:dyDescent="0.2">
      <c r="A7" s="39" t="s">
        <v>168</v>
      </c>
      <c r="B7" s="207" t="s">
        <v>310</v>
      </c>
      <c r="C7" s="208" t="s">
        <v>311</v>
      </c>
      <c r="D7" s="42" t="s">
        <v>312</v>
      </c>
      <c r="E7" s="209" t="s">
        <v>313</v>
      </c>
      <c r="F7" s="210" t="s">
        <v>314</v>
      </c>
      <c r="G7" s="210" t="s">
        <v>315</v>
      </c>
      <c r="H7" s="210" t="s">
        <v>316</v>
      </c>
      <c r="I7" s="211" t="s">
        <v>317</v>
      </c>
      <c r="J7" s="211" t="s">
        <v>318</v>
      </c>
      <c r="K7" s="212" t="s">
        <v>319</v>
      </c>
      <c r="L7" s="212" t="s">
        <v>320</v>
      </c>
      <c r="M7" s="45"/>
      <c r="N7" s="179">
        <f>'Financial Assumptions'!H11</f>
        <v>1.5990000000000001E-2</v>
      </c>
      <c r="O7" s="213"/>
    </row>
    <row r="8" spans="1:15" s="213" customFormat="1" ht="14.25" x14ac:dyDescent="0.2">
      <c r="A8" s="214">
        <v>2014</v>
      </c>
      <c r="B8" s="215"/>
      <c r="C8" s="216"/>
      <c r="D8" s="217"/>
      <c r="E8" s="218">
        <v>135518.26</v>
      </c>
      <c r="F8" s="219"/>
      <c r="G8" s="219"/>
      <c r="H8" s="220"/>
      <c r="I8" s="220"/>
      <c r="J8" s="220"/>
      <c r="K8" s="219"/>
      <c r="L8" s="220"/>
      <c r="M8" s="221"/>
    </row>
    <row r="9" spans="1:15" s="213" customFormat="1" ht="14.25" x14ac:dyDescent="0.2">
      <c r="A9" s="71">
        <v>2014</v>
      </c>
      <c r="B9" s="222"/>
      <c r="C9" s="223"/>
      <c r="D9" s="137"/>
      <c r="E9" s="224">
        <f>SUBTOTAL(9,E6:E8)</f>
        <v>135518.26</v>
      </c>
      <c r="F9" s="219">
        <f>E9</f>
        <v>135518.26</v>
      </c>
      <c r="G9" s="219"/>
      <c r="H9" s="220">
        <f>G9</f>
        <v>0</v>
      </c>
      <c r="I9" s="220">
        <f>F9-H9</f>
        <v>135518.26</v>
      </c>
      <c r="J9" s="220"/>
      <c r="K9" s="219">
        <f>(J9)</f>
        <v>0</v>
      </c>
      <c r="L9" s="220">
        <f>I9+K9</f>
        <v>135518.26</v>
      </c>
      <c r="M9" s="221"/>
    </row>
    <row r="10" spans="1:15" x14ac:dyDescent="0.2">
      <c r="A10" s="214">
        <v>2015</v>
      </c>
      <c r="B10" s="215"/>
      <c r="C10" s="216"/>
      <c r="D10" s="217"/>
      <c r="E10" s="218">
        <v>229939.19</v>
      </c>
      <c r="F10" s="219"/>
      <c r="G10" s="219"/>
      <c r="H10" s="220"/>
      <c r="I10" s="220"/>
      <c r="J10" s="220"/>
      <c r="K10" s="219"/>
      <c r="L10" s="220"/>
      <c r="M10" s="45"/>
    </row>
    <row r="11" spans="1:15" x14ac:dyDescent="0.2">
      <c r="A11" s="71">
        <v>2015</v>
      </c>
      <c r="B11" s="222"/>
      <c r="C11" s="223"/>
      <c r="D11" s="137"/>
      <c r="E11" s="224">
        <f>SUBTOTAL(9,E10)</f>
        <v>229939.19</v>
      </c>
      <c r="F11" s="219">
        <f>F9+E11</f>
        <v>365457.45</v>
      </c>
      <c r="G11" s="219"/>
      <c r="H11" s="220">
        <f>G11</f>
        <v>0</v>
      </c>
      <c r="I11" s="220">
        <f>F11-H11</f>
        <v>365457.45</v>
      </c>
      <c r="J11" s="220"/>
      <c r="K11" s="219">
        <f>(1+(IF(L9&gt;0,$N$7,$N$4)))*K9+J11</f>
        <v>0</v>
      </c>
      <c r="L11" s="220">
        <f>I11+K11</f>
        <v>365457.45</v>
      </c>
      <c r="M11" s="45"/>
    </row>
    <row r="12" spans="1:15" x14ac:dyDescent="0.2">
      <c r="A12" s="214">
        <v>2016</v>
      </c>
      <c r="B12" s="215"/>
      <c r="C12" s="216"/>
      <c r="D12" s="217"/>
      <c r="E12" s="218">
        <v>444849.65</v>
      </c>
      <c r="F12" s="219"/>
      <c r="G12" s="219"/>
      <c r="H12" s="220"/>
      <c r="I12" s="220"/>
      <c r="J12" s="220"/>
      <c r="K12" s="219"/>
      <c r="L12" s="220"/>
      <c r="M12" s="45"/>
    </row>
    <row r="13" spans="1:15" x14ac:dyDescent="0.2">
      <c r="A13" s="71">
        <v>2016</v>
      </c>
      <c r="B13" s="222"/>
      <c r="C13" s="223"/>
      <c r="D13" s="137"/>
      <c r="E13" s="224">
        <f>SUBTOTAL(9,E12)</f>
        <v>444849.65</v>
      </c>
      <c r="F13" s="219">
        <f>F11+E13</f>
        <v>810307.10000000009</v>
      </c>
      <c r="G13" s="219"/>
      <c r="H13" s="220">
        <f>G13</f>
        <v>0</v>
      </c>
      <c r="I13" s="220">
        <f>F13-H13</f>
        <v>810307.10000000009</v>
      </c>
      <c r="J13" s="220"/>
      <c r="K13" s="219">
        <f>(1+(IF(L11&gt;0,$N$7,$N$4)))*K11+J13</f>
        <v>0</v>
      </c>
      <c r="L13" s="220">
        <f>I13+K13</f>
        <v>810307.10000000009</v>
      </c>
      <c r="M13" s="45"/>
    </row>
    <row r="14" spans="1:15" x14ac:dyDescent="0.2">
      <c r="A14" s="214">
        <v>2017</v>
      </c>
      <c r="B14" s="215"/>
      <c r="C14" s="216"/>
      <c r="D14" s="217"/>
      <c r="E14" s="218">
        <v>489377.06</v>
      </c>
      <c r="F14" s="219"/>
      <c r="G14" s="219"/>
      <c r="H14" s="219"/>
      <c r="I14" s="219"/>
      <c r="J14" s="219"/>
      <c r="K14" s="219"/>
      <c r="L14" s="219"/>
      <c r="M14" s="45"/>
    </row>
    <row r="15" spans="1:15" x14ac:dyDescent="0.2">
      <c r="A15" s="71">
        <v>2017</v>
      </c>
      <c r="B15" s="222"/>
      <c r="C15" s="223"/>
      <c r="D15" s="137"/>
      <c r="E15" s="224">
        <f>SUBTOTAL(9,E14)</f>
        <v>489377.06</v>
      </c>
      <c r="F15" s="219">
        <f>F13+E15</f>
        <v>1299684.1600000001</v>
      </c>
      <c r="G15" s="219"/>
      <c r="H15" s="219">
        <f>G15</f>
        <v>0</v>
      </c>
      <c r="I15" s="219">
        <f>F15-H15</f>
        <v>1299684.1600000001</v>
      </c>
      <c r="J15" s="219"/>
      <c r="K15" s="219">
        <f>(1+(IF(L13&gt;0,$N$7,$N$4)))*K13+J15</f>
        <v>0</v>
      </c>
      <c r="L15" s="219">
        <f>I15+K15</f>
        <v>1299684.1600000001</v>
      </c>
      <c r="M15" s="45"/>
    </row>
    <row r="16" spans="1:15" x14ac:dyDescent="0.2">
      <c r="A16" s="214">
        <v>2018</v>
      </c>
      <c r="B16" s="215"/>
      <c r="C16" s="216"/>
      <c r="D16" s="217"/>
      <c r="E16" s="218">
        <v>607340.12</v>
      </c>
      <c r="F16" s="219"/>
      <c r="G16" s="219"/>
      <c r="H16" s="219"/>
      <c r="I16" s="219"/>
      <c r="J16" s="219"/>
      <c r="K16" s="219"/>
      <c r="L16" s="219"/>
      <c r="M16" s="45"/>
    </row>
    <row r="17" spans="1:16" x14ac:dyDescent="0.2">
      <c r="A17" s="71">
        <v>2018</v>
      </c>
      <c r="B17" s="222"/>
      <c r="C17" s="223"/>
      <c r="D17" s="137"/>
      <c r="E17" s="224">
        <f>SUBTOTAL(9,E16)</f>
        <v>607340.12</v>
      </c>
      <c r="F17" s="219">
        <f>F15+E17</f>
        <v>1907024.2800000003</v>
      </c>
      <c r="G17" s="219"/>
      <c r="H17" s="219">
        <f>G17</f>
        <v>0</v>
      </c>
      <c r="I17" s="219">
        <f>F17-H17</f>
        <v>1907024.2800000003</v>
      </c>
      <c r="J17" s="219"/>
      <c r="K17" s="219">
        <f>(1+(IF(L15&gt;0,$N$7,$N$4)))*K15+J17</f>
        <v>0</v>
      </c>
      <c r="L17" s="219">
        <f>I17+K17</f>
        <v>1907024.2800000003</v>
      </c>
      <c r="M17" s="45"/>
    </row>
    <row r="18" spans="1:16" x14ac:dyDescent="0.2">
      <c r="A18" s="214">
        <v>2019</v>
      </c>
      <c r="B18" s="215"/>
      <c r="C18" s="216"/>
      <c r="D18" s="217"/>
      <c r="E18" s="218">
        <v>496110.93</v>
      </c>
      <c r="F18" s="219"/>
      <c r="G18" s="219"/>
      <c r="H18" s="219"/>
      <c r="I18" s="219"/>
      <c r="J18" s="219"/>
      <c r="K18" s="219"/>
      <c r="L18" s="219"/>
      <c r="M18" s="45"/>
    </row>
    <row r="19" spans="1:16" x14ac:dyDescent="0.2">
      <c r="A19" s="71">
        <v>2019</v>
      </c>
      <c r="B19" s="222"/>
      <c r="C19" s="223"/>
      <c r="D19" s="137"/>
      <c r="E19" s="224">
        <f>SUBTOTAL(9,E18:E18)</f>
        <v>496110.93</v>
      </c>
      <c r="F19" s="219">
        <f>F17+E19</f>
        <v>2403135.2100000004</v>
      </c>
      <c r="G19" s="219"/>
      <c r="H19" s="219">
        <f>G19</f>
        <v>0</v>
      </c>
      <c r="I19" s="219">
        <f>F19-H19</f>
        <v>2403135.2100000004</v>
      </c>
      <c r="J19" s="219">
        <v>45032.42</v>
      </c>
      <c r="K19" s="219">
        <f>J19</f>
        <v>45032.42</v>
      </c>
      <c r="L19" s="219">
        <f>I19+K19</f>
        <v>2448167.6300000004</v>
      </c>
      <c r="M19" s="45"/>
    </row>
    <row r="20" spans="1:16" x14ac:dyDescent="0.2">
      <c r="A20" s="214">
        <v>2020</v>
      </c>
      <c r="B20" s="215"/>
      <c r="C20" s="216"/>
      <c r="D20" s="217"/>
      <c r="E20" s="218">
        <v>654208.16</v>
      </c>
      <c r="F20" s="219"/>
      <c r="G20" s="219"/>
      <c r="H20" s="219"/>
      <c r="I20" s="219"/>
      <c r="J20" s="219"/>
      <c r="K20" s="219"/>
      <c r="L20" s="219"/>
      <c r="M20" s="45"/>
    </row>
    <row r="21" spans="1:16" x14ac:dyDescent="0.2">
      <c r="A21" s="71">
        <v>2020</v>
      </c>
      <c r="B21" s="222"/>
      <c r="C21" s="223"/>
      <c r="D21" s="137"/>
      <c r="E21" s="224">
        <f>SUBTOTAL(9,E20:E20)</f>
        <v>654208.16</v>
      </c>
      <c r="F21" s="219">
        <f>F19+E21</f>
        <v>3057343.3700000006</v>
      </c>
      <c r="G21" s="219"/>
      <c r="H21" s="219">
        <f>G21+H19</f>
        <v>0</v>
      </c>
      <c r="I21" s="219">
        <f>F21-H21</f>
        <v>3057343.3700000006</v>
      </c>
      <c r="J21" s="219">
        <v>22907.95</v>
      </c>
      <c r="K21" s="219">
        <f>K19+J21</f>
        <v>67940.37</v>
      </c>
      <c r="L21" s="219">
        <f>I21+K21</f>
        <v>3125283.7400000007</v>
      </c>
      <c r="M21" s="45"/>
    </row>
    <row r="22" spans="1:16" x14ac:dyDescent="0.2">
      <c r="A22" s="214">
        <v>2021</v>
      </c>
      <c r="B22" s="225"/>
      <c r="C22" s="226"/>
      <c r="D22" s="217"/>
      <c r="E22" s="218">
        <v>3582195.66</v>
      </c>
      <c r="F22" s="219"/>
      <c r="G22" s="219"/>
      <c r="H22" s="219"/>
      <c r="I22" s="219"/>
      <c r="J22" s="219"/>
      <c r="K22" s="219"/>
      <c r="L22" s="219"/>
      <c r="M22" s="45"/>
    </row>
    <row r="23" spans="1:16" x14ac:dyDescent="0.2">
      <c r="A23" s="71">
        <v>2021</v>
      </c>
      <c r="B23" s="222"/>
      <c r="C23" s="223"/>
      <c r="D23" s="137"/>
      <c r="E23" s="224">
        <f>SUBTOTAL(9,E22:E22)</f>
        <v>3582195.66</v>
      </c>
      <c r="F23" s="219">
        <f>F21+E23</f>
        <v>6639539.0300000012</v>
      </c>
      <c r="G23" s="229">
        <v>3729740.08</v>
      </c>
      <c r="H23" s="229">
        <f>G23+H21</f>
        <v>3729740.08</v>
      </c>
      <c r="I23" s="219">
        <f>F23-H23</f>
        <v>2909798.9500000011</v>
      </c>
      <c r="J23" s="219">
        <v>26309.48</v>
      </c>
      <c r="K23" s="219">
        <f>K21+J23</f>
        <v>94249.849999999991</v>
      </c>
      <c r="L23" s="219">
        <f>I23+K23</f>
        <v>3004048.8000000012</v>
      </c>
      <c r="M23" s="45"/>
    </row>
    <row r="24" spans="1:16" x14ac:dyDescent="0.2">
      <c r="A24" s="214">
        <v>2022</v>
      </c>
      <c r="B24" s="215"/>
      <c r="C24" s="216"/>
      <c r="D24" s="217"/>
      <c r="E24" s="218">
        <v>5245742.5199999996</v>
      </c>
      <c r="F24" s="219"/>
      <c r="G24" s="229"/>
      <c r="H24" s="229"/>
      <c r="I24" s="219"/>
      <c r="J24" s="219"/>
      <c r="K24" s="219"/>
      <c r="L24" s="219"/>
      <c r="M24" s="45"/>
    </row>
    <row r="25" spans="1:16" x14ac:dyDescent="0.2">
      <c r="A25" s="71">
        <v>2022</v>
      </c>
      <c r="B25" s="222"/>
      <c r="C25" s="223"/>
      <c r="D25" s="137"/>
      <c r="E25" s="224">
        <f>SUBTOTAL(9,E24:E24)</f>
        <v>5245742.5199999996</v>
      </c>
      <c r="F25" s="219">
        <f>F23+E25</f>
        <v>11885281.550000001</v>
      </c>
      <c r="G25" s="229">
        <f>'2025 Water - Phase Costs'!R26</f>
        <v>2526845.3899999997</v>
      </c>
      <c r="H25" s="229">
        <f>G25+H23</f>
        <v>6256585.4699999997</v>
      </c>
      <c r="I25" s="219">
        <f>F25-H25</f>
        <v>5628696.080000001</v>
      </c>
      <c r="J25" s="219">
        <v>111944.69</v>
      </c>
      <c r="K25" s="219">
        <f>K23+J25</f>
        <v>206194.53999999998</v>
      </c>
      <c r="L25" s="219">
        <f>I25+K25</f>
        <v>5834890.620000001</v>
      </c>
      <c r="M25" s="45"/>
      <c r="P25" s="87"/>
    </row>
    <row r="26" spans="1:16" x14ac:dyDescent="0.2">
      <c r="A26" s="214">
        <v>2023</v>
      </c>
      <c r="B26" s="215"/>
      <c r="C26" s="216"/>
      <c r="D26" s="217"/>
      <c r="E26" s="218">
        <v>4317684.03</v>
      </c>
      <c r="F26" s="219"/>
      <c r="G26" s="229"/>
      <c r="H26" s="229"/>
      <c r="I26" s="219"/>
      <c r="J26" s="219"/>
      <c r="K26" s="219"/>
      <c r="L26" s="219"/>
      <c r="M26" s="45"/>
      <c r="P26" s="45"/>
    </row>
    <row r="27" spans="1:16" x14ac:dyDescent="0.2">
      <c r="A27" s="71">
        <v>2023</v>
      </c>
      <c r="B27" s="222"/>
      <c r="C27" s="223"/>
      <c r="D27" s="137"/>
      <c r="E27" s="224">
        <f>SUBTOTAL(9,E26:E26)</f>
        <v>4317684.03</v>
      </c>
      <c r="F27" s="219">
        <f>F25+E27</f>
        <v>16202965.580000002</v>
      </c>
      <c r="G27" s="229">
        <v>9579777.2899999991</v>
      </c>
      <c r="H27" s="229">
        <f>G27+H25</f>
        <v>15836362.759999998</v>
      </c>
      <c r="I27" s="219">
        <f>F27-H27</f>
        <v>366602.82000000402</v>
      </c>
      <c r="J27" s="219">
        <f>156138.36-70026.87</f>
        <v>86111.489999999991</v>
      </c>
      <c r="K27" s="219">
        <f>K25+J27</f>
        <v>292306.02999999997</v>
      </c>
      <c r="L27" s="219">
        <f>I27+K27</f>
        <v>658908.85000000405</v>
      </c>
      <c r="M27" s="45"/>
    </row>
    <row r="28" spans="1:16" x14ac:dyDescent="0.2">
      <c r="A28" s="214">
        <v>2024</v>
      </c>
      <c r="B28" s="215"/>
      <c r="C28" s="216"/>
      <c r="D28" s="217"/>
      <c r="E28" s="227">
        <v>9311425.3200000003</v>
      </c>
      <c r="F28" s="229"/>
      <c r="G28" s="229"/>
      <c r="H28" s="229"/>
      <c r="I28" s="229"/>
      <c r="J28" s="229"/>
      <c r="K28" s="229"/>
      <c r="L28" s="229"/>
      <c r="M28" s="45"/>
    </row>
    <row r="29" spans="1:16" x14ac:dyDescent="0.2">
      <c r="A29" s="71">
        <v>2024</v>
      </c>
      <c r="B29" s="222"/>
      <c r="C29" s="223"/>
      <c r="D29" s="137"/>
      <c r="E29" s="200">
        <f>SUBTOTAL(9,E28:E28)</f>
        <v>9311425.3200000003</v>
      </c>
      <c r="F29" s="229">
        <f>F27+E29</f>
        <v>25514390.900000002</v>
      </c>
      <c r="G29" s="229">
        <f>'2025 Water - Phase Costs'!R35</f>
        <v>1802731</v>
      </c>
      <c r="H29" s="229">
        <f>G29+H27</f>
        <v>17639093.759999998</v>
      </c>
      <c r="I29" s="229">
        <f>F29-H29</f>
        <v>7875297.1400000043</v>
      </c>
      <c r="J29" s="229">
        <f>78405.35-296623.4</f>
        <v>-218218.05000000002</v>
      </c>
      <c r="K29" s="219">
        <f>K27+J29</f>
        <v>74087.979999999952</v>
      </c>
      <c r="L29" s="229">
        <f>I29+K29</f>
        <v>7949385.1200000038</v>
      </c>
      <c r="M29" s="45"/>
    </row>
    <row r="30" spans="1:16" x14ac:dyDescent="0.2">
      <c r="A30" s="214">
        <v>2025</v>
      </c>
      <c r="B30" s="215">
        <f>'Population Projections'!$F$6/5</f>
        <v>499.4</v>
      </c>
      <c r="C30" s="216" t="s">
        <v>322</v>
      </c>
      <c r="D30" s="217">
        <f>VLOOKUP(A30,'Escalation Factors'!$E$17:$F$44,2,FALSE)</f>
        <v>1</v>
      </c>
      <c r="E30" s="227">
        <f>B30*D30*'2025 Water - Charge'!$G$40</f>
        <v>3399409.515670524</v>
      </c>
      <c r="F30" s="229"/>
      <c r="G30" s="229"/>
      <c r="H30" s="229"/>
      <c r="I30" s="229"/>
      <c r="J30" s="229"/>
      <c r="K30" s="229"/>
      <c r="L30" s="229"/>
      <c r="M30" s="45"/>
    </row>
    <row r="31" spans="1:16" x14ac:dyDescent="0.2">
      <c r="A31" s="214">
        <v>2025</v>
      </c>
      <c r="B31" s="215">
        <f>'Population Projections'!$G$6/5</f>
        <v>1421.6</v>
      </c>
      <c r="C31" s="216" t="s">
        <v>323</v>
      </c>
      <c r="D31" s="217">
        <f>VLOOKUP(A31,'Escalation Factors'!$E$17:$F$44,2,FALSE)</f>
        <v>1</v>
      </c>
      <c r="E31" s="227">
        <f>B31*D31*'2025 Water - Charge'!$G$42</f>
        <v>6499352.2237573061</v>
      </c>
      <c r="F31" s="228"/>
      <c r="G31" s="229"/>
      <c r="H31" s="228"/>
      <c r="I31" s="228"/>
      <c r="J31" s="228"/>
      <c r="K31" s="229"/>
      <c r="L31" s="228"/>
      <c r="M31" s="45"/>
    </row>
    <row r="32" spans="1:16" x14ac:dyDescent="0.2">
      <c r="A32" s="214">
        <v>2025</v>
      </c>
      <c r="B32" s="215">
        <f>'Population Projections'!$J$6/5</f>
        <v>1844778.6</v>
      </c>
      <c r="C32" s="216" t="s">
        <v>324</v>
      </c>
      <c r="D32" s="217">
        <f>VLOOKUP(A32,'Escalation Factors'!$E$17:$F$44,2,FALSE)</f>
        <v>1</v>
      </c>
      <c r="E32" s="227">
        <f>B32*D32*'2025 Water - Charge'!$G$48</f>
        <v>5757726.2598029207</v>
      </c>
      <c r="F32" s="228"/>
      <c r="G32" s="229"/>
      <c r="H32" s="228"/>
      <c r="I32" s="228"/>
      <c r="J32" s="228"/>
      <c r="K32" s="229"/>
      <c r="L32" s="228"/>
      <c r="M32" s="45"/>
    </row>
    <row r="33" spans="1:13" x14ac:dyDescent="0.2">
      <c r="A33" s="71">
        <v>2025</v>
      </c>
      <c r="B33" s="222"/>
      <c r="C33" s="223"/>
      <c r="D33" s="137"/>
      <c r="E33" s="200">
        <f>SUBTOTAL(9,E30:E32)</f>
        <v>15656487.999230752</v>
      </c>
      <c r="F33" s="228">
        <f>F29+E33</f>
        <v>41170878.899230756</v>
      </c>
      <c r="G33" s="229">
        <f>'2025 Water - Phase Costs'!R54</f>
        <v>15635750.446500558</v>
      </c>
      <c r="H33" s="228">
        <f>G33+H29</f>
        <v>33274844.206500556</v>
      </c>
      <c r="I33" s="228">
        <f>F33-H33</f>
        <v>7896034.6927301995</v>
      </c>
      <c r="J33" s="228">
        <f>I33*(IF(L29&gt;0,$N$7,$N$4))</f>
        <v>126257.5947367559</v>
      </c>
      <c r="K33" s="229">
        <f>(1+(IF(L29&gt;0,$N$7,$N$4)))*K29+J33</f>
        <v>201530.24153695584</v>
      </c>
      <c r="L33" s="228">
        <f>I33+K33</f>
        <v>8097564.9342671558</v>
      </c>
      <c r="M33" s="45"/>
    </row>
    <row r="34" spans="1:13" x14ac:dyDescent="0.2">
      <c r="A34" s="214">
        <v>2026</v>
      </c>
      <c r="B34" s="215">
        <f>'Population Projections'!$F$7/5</f>
        <v>540.6</v>
      </c>
      <c r="C34" s="216" t="s">
        <v>322</v>
      </c>
      <c r="D34" s="217">
        <f>VLOOKUP(A34,'Escalation Factors'!$E$17:$F$44,2,FALSE)</f>
        <v>1.02844</v>
      </c>
      <c r="E34" s="227">
        <f>B34*D34*'2025 Water - Charge'!$G$40</f>
        <v>3784512.5415965612</v>
      </c>
      <c r="F34" s="228"/>
      <c r="G34" s="229"/>
      <c r="H34" s="228"/>
      <c r="I34" s="228"/>
      <c r="J34" s="228"/>
      <c r="K34" s="229"/>
      <c r="L34" s="228"/>
      <c r="M34" s="45"/>
    </row>
    <row r="35" spans="1:13" x14ac:dyDescent="0.2">
      <c r="A35" s="214">
        <v>2026</v>
      </c>
      <c r="B35" s="215">
        <f>'Population Projections'!$G$7/5</f>
        <v>1539</v>
      </c>
      <c r="C35" s="216" t="s">
        <v>323</v>
      </c>
      <c r="D35" s="217">
        <f>VLOOKUP(A35,'Escalation Factors'!$E$17:$F$44,2,FALSE)</f>
        <v>1.02844</v>
      </c>
      <c r="E35" s="227">
        <f>B35*D35*'2025 Water - Charge'!$G$42</f>
        <v>7236194.6115225693</v>
      </c>
      <c r="F35" s="228"/>
      <c r="G35" s="229"/>
      <c r="H35" s="228"/>
      <c r="I35" s="228"/>
      <c r="J35" s="228"/>
      <c r="K35" s="229"/>
      <c r="L35" s="228"/>
      <c r="M35" s="45"/>
    </row>
    <row r="36" spans="1:13" x14ac:dyDescent="0.2">
      <c r="A36" s="214">
        <v>2026</v>
      </c>
      <c r="B36" s="215">
        <f>'Population Projections'!$J$7/5</f>
        <v>1997093.8</v>
      </c>
      <c r="C36" s="216" t="s">
        <v>324</v>
      </c>
      <c r="D36" s="217">
        <f>VLOOKUP(A36,'Escalation Factors'!$E$17:$F$44,2,FALSE)</f>
        <v>1.02844</v>
      </c>
      <c r="E36" s="227">
        <f>B36*D36*'2025 Water - Charge'!$G$48</f>
        <v>6410386.0461780252</v>
      </c>
      <c r="F36" s="228"/>
      <c r="G36" s="229"/>
      <c r="H36" s="228"/>
      <c r="I36" s="228"/>
      <c r="J36" s="228"/>
      <c r="K36" s="229"/>
      <c r="L36" s="228"/>
      <c r="M36" s="45"/>
    </row>
    <row r="37" spans="1:13" x14ac:dyDescent="0.2">
      <c r="A37" s="71">
        <v>2026</v>
      </c>
      <c r="B37" s="222"/>
      <c r="C37" s="223"/>
      <c r="D37" s="137"/>
      <c r="E37" s="200">
        <f>SUBTOTAL(9,E34:E36)</f>
        <v>17431093.199297156</v>
      </c>
      <c r="F37" s="228">
        <f>F33+E37</f>
        <v>58601972.098527908</v>
      </c>
      <c r="G37" s="229">
        <f>'2025 Water - Phase Costs'!$R$73/5</f>
        <v>18864820.532762103</v>
      </c>
      <c r="H37" s="228">
        <f>G37+H33</f>
        <v>52139664.739262655</v>
      </c>
      <c r="I37" s="228">
        <f>F37-H37</f>
        <v>6462307.3592652529</v>
      </c>
      <c r="J37" s="228">
        <f>I37*(IF(L33&gt;0,$N$7,$N$4))</f>
        <v>103332.29467465141</v>
      </c>
      <c r="K37" s="229">
        <f>(1+(IF(L33&gt;0,$N$7,$N$4)))*K33+J37</f>
        <v>308085.00477378315</v>
      </c>
      <c r="L37" s="228">
        <f>I37+K37</f>
        <v>6770392.3640390364</v>
      </c>
      <c r="M37" s="45"/>
    </row>
    <row r="38" spans="1:13" x14ac:dyDescent="0.2">
      <c r="A38" s="214">
        <v>2027</v>
      </c>
      <c r="B38" s="215">
        <f>'Population Projections'!$F$7/5</f>
        <v>540.6</v>
      </c>
      <c r="C38" s="216" t="s">
        <v>322</v>
      </c>
      <c r="D38" s="217">
        <f>VLOOKUP(A38,'Escalation Factors'!$E$17:$F$44,2,FALSE)</f>
        <v>1.0576888336000001</v>
      </c>
      <c r="E38" s="227">
        <f>B38*D38*'2025 Water - Charge'!$G$40</f>
        <v>3892144.0782795674</v>
      </c>
      <c r="F38" s="228"/>
      <c r="G38" s="229"/>
      <c r="H38" s="228"/>
      <c r="I38" s="228"/>
      <c r="J38" s="228"/>
      <c r="K38" s="229"/>
      <c r="L38" s="228"/>
      <c r="M38" s="45"/>
    </row>
    <row r="39" spans="1:13" x14ac:dyDescent="0.2">
      <c r="A39" s="214">
        <v>2027</v>
      </c>
      <c r="B39" s="215">
        <f>'Population Projections'!$G$7/5</f>
        <v>1539</v>
      </c>
      <c r="C39" s="216" t="s">
        <v>323</v>
      </c>
      <c r="D39" s="217">
        <f>VLOOKUP(A39,'Escalation Factors'!$E$17:$F$44,2,FALSE)</f>
        <v>1.0576888336000001</v>
      </c>
      <c r="E39" s="227">
        <f>B39*D39*'2025 Water - Charge'!$G$42</f>
        <v>7441991.9862742722</v>
      </c>
      <c r="F39" s="228"/>
      <c r="G39" s="229"/>
      <c r="H39" s="228"/>
      <c r="I39" s="228"/>
      <c r="J39" s="228"/>
      <c r="K39" s="229"/>
      <c r="L39" s="228"/>
      <c r="M39" s="45"/>
    </row>
    <row r="40" spans="1:13" x14ac:dyDescent="0.2">
      <c r="A40" s="214">
        <v>2027</v>
      </c>
      <c r="B40" s="215">
        <f>'Population Projections'!$J$7/5</f>
        <v>1997093.8</v>
      </c>
      <c r="C40" s="216" t="s">
        <v>324</v>
      </c>
      <c r="D40" s="217">
        <f>VLOOKUP(A40,'Escalation Factors'!$E$17:$F$44,2,FALSE)</f>
        <v>1.0576888336000001</v>
      </c>
      <c r="E40" s="227">
        <f>B40*D40*'2025 Water - Charge'!$G$48</f>
        <v>6592697.425331329</v>
      </c>
      <c r="F40" s="228"/>
      <c r="G40" s="229"/>
      <c r="H40" s="228"/>
      <c r="I40" s="228"/>
      <c r="J40" s="228"/>
      <c r="K40" s="229"/>
      <c r="L40" s="228"/>
      <c r="M40" s="45"/>
    </row>
    <row r="41" spans="1:13" x14ac:dyDescent="0.2">
      <c r="A41" s="71">
        <v>2027</v>
      </c>
      <c r="B41" s="222"/>
      <c r="C41" s="223"/>
      <c r="D41" s="137"/>
      <c r="E41" s="200">
        <f>SUBTOTAL(9,E38:E40)</f>
        <v>17926833.48988517</v>
      </c>
      <c r="F41" s="228">
        <f>F37+E41</f>
        <v>76528805.588413075</v>
      </c>
      <c r="G41" s="229">
        <f>'2025 Water - Phase Costs'!$R$73/5</f>
        <v>18864820.532762103</v>
      </c>
      <c r="H41" s="228">
        <f>G41+H37</f>
        <v>71004485.272024751</v>
      </c>
      <c r="I41" s="228">
        <f>F41-H41</f>
        <v>5524320.3163883239</v>
      </c>
      <c r="J41" s="228">
        <f>I41*(IF(L37&gt;0,$N$7,$N$4))</f>
        <v>88333.881859049303</v>
      </c>
      <c r="K41" s="229">
        <f>(1+(IF(L37&gt;0,$N$7,$N$4)))*K37+J41</f>
        <v>401345.16585916525</v>
      </c>
      <c r="L41" s="228">
        <f>I41+K41</f>
        <v>5925665.4822474895</v>
      </c>
      <c r="M41" s="45"/>
    </row>
    <row r="42" spans="1:13" x14ac:dyDescent="0.2">
      <c r="A42" s="214">
        <v>2028</v>
      </c>
      <c r="B42" s="215">
        <f>'Population Projections'!$F$7/5</f>
        <v>540.6</v>
      </c>
      <c r="C42" s="216" t="s">
        <v>322</v>
      </c>
      <c r="D42" s="217">
        <f>VLOOKUP(A42,'Escalation Factors'!$E$17:$F$44,2,FALSE)</f>
        <v>1.0877695040275841</v>
      </c>
      <c r="E42" s="227">
        <f>B42*D42*'2025 Water - Charge'!$G$40</f>
        <v>4002836.6558658378</v>
      </c>
      <c r="F42" s="228"/>
      <c r="G42" s="229"/>
      <c r="H42" s="228"/>
      <c r="I42" s="228"/>
      <c r="J42" s="228"/>
      <c r="K42" s="229"/>
      <c r="L42" s="228"/>
      <c r="M42" s="45"/>
    </row>
    <row r="43" spans="1:13" x14ac:dyDescent="0.2">
      <c r="A43" s="214">
        <v>2028</v>
      </c>
      <c r="B43" s="215">
        <f>'Population Projections'!$G$7/5</f>
        <v>1539</v>
      </c>
      <c r="C43" s="216" t="s">
        <v>323</v>
      </c>
      <c r="D43" s="217">
        <f>VLOOKUP(A43,'Escalation Factors'!$E$17:$F$44,2,FALSE)</f>
        <v>1.0877695040275841</v>
      </c>
      <c r="E43" s="227">
        <f>B43*D43*'2025 Water - Charge'!$G$42</f>
        <v>7653642.2383639123</v>
      </c>
      <c r="F43" s="228"/>
      <c r="G43" s="229"/>
      <c r="H43" s="228"/>
      <c r="I43" s="228"/>
      <c r="J43" s="228"/>
      <c r="K43" s="229"/>
      <c r="L43" s="228"/>
      <c r="M43" s="45"/>
    </row>
    <row r="44" spans="1:13" x14ac:dyDescent="0.2">
      <c r="A44" s="214">
        <v>2028</v>
      </c>
      <c r="B44" s="215">
        <f>'Population Projections'!$J$7/5</f>
        <v>1997093.8</v>
      </c>
      <c r="C44" s="216" t="s">
        <v>324</v>
      </c>
      <c r="D44" s="217">
        <f>VLOOKUP(A44,'Escalation Factors'!$E$17:$F$44,2,FALSE)</f>
        <v>1.0877695040275841</v>
      </c>
      <c r="E44" s="227">
        <f>B44*D44*'2025 Water - Charge'!$G$48</f>
        <v>6780193.7401077524</v>
      </c>
      <c r="F44" s="228"/>
      <c r="G44" s="229"/>
      <c r="H44" s="228"/>
      <c r="I44" s="228"/>
      <c r="J44" s="228"/>
      <c r="K44" s="229"/>
      <c r="L44" s="228"/>
      <c r="M44" s="45"/>
    </row>
    <row r="45" spans="1:13" x14ac:dyDescent="0.2">
      <c r="A45" s="71">
        <v>2028</v>
      </c>
      <c r="B45" s="222"/>
      <c r="C45" s="223"/>
      <c r="D45" s="137"/>
      <c r="E45" s="200">
        <f>SUBTOTAL(9,E42:E44)</f>
        <v>18436672.634337503</v>
      </c>
      <c r="F45" s="228">
        <f>F41+E45</f>
        <v>94965478.222750574</v>
      </c>
      <c r="G45" s="229">
        <f>'2025 Water - Phase Costs'!$R$73/5</f>
        <v>18864820.532762103</v>
      </c>
      <c r="H45" s="228">
        <f>G45+H41</f>
        <v>89869305.804786861</v>
      </c>
      <c r="I45" s="228">
        <f>F45-H45</f>
        <v>5096172.4179637134</v>
      </c>
      <c r="J45" s="228">
        <f>I45*(IF(L41&gt;0,$N$7,$N$4))</f>
        <v>81487.796963239787</v>
      </c>
      <c r="K45" s="229">
        <f>(1+(IF(L41&gt;0,$N$7,$N$4)))*K41+J45</f>
        <v>489250.47202449309</v>
      </c>
      <c r="L45" s="228">
        <f>I45+K45</f>
        <v>5585422.8899882063</v>
      </c>
      <c r="M45" s="45"/>
    </row>
    <row r="46" spans="1:13" x14ac:dyDescent="0.2">
      <c r="A46" s="214">
        <v>2029</v>
      </c>
      <c r="B46" s="215">
        <f>'Population Projections'!$F$7/5</f>
        <v>540.6</v>
      </c>
      <c r="C46" s="216" t="s">
        <v>322</v>
      </c>
      <c r="D46" s="217">
        <f>VLOOKUP(A46,'Escalation Factors'!$E$17:$F$44,2,FALSE)</f>
        <v>1.1187056687221286</v>
      </c>
      <c r="E46" s="227">
        <f>B46*D46*'2025 Water - Charge'!$G$40</f>
        <v>4116677.3303586626</v>
      </c>
      <c r="F46" s="228"/>
      <c r="G46" s="229"/>
      <c r="H46" s="228"/>
      <c r="I46" s="228"/>
      <c r="J46" s="228"/>
      <c r="K46" s="229"/>
      <c r="L46" s="228"/>
      <c r="M46" s="45"/>
    </row>
    <row r="47" spans="1:13" x14ac:dyDescent="0.2">
      <c r="A47" s="214">
        <v>2029</v>
      </c>
      <c r="B47" s="215">
        <f>'Population Projections'!$G$7/5</f>
        <v>1539</v>
      </c>
      <c r="C47" s="216" t="s">
        <v>323</v>
      </c>
      <c r="D47" s="217">
        <f>VLOOKUP(A47,'Escalation Factors'!$E$17:$F$44,2,FALSE)</f>
        <v>1.1187056687221286</v>
      </c>
      <c r="E47" s="227">
        <f>B47*D47*'2025 Water - Charge'!$G$42</f>
        <v>7871311.823622982</v>
      </c>
      <c r="F47" s="228"/>
      <c r="G47" s="229"/>
      <c r="H47" s="228"/>
      <c r="I47" s="228"/>
      <c r="J47" s="228"/>
      <c r="K47" s="229"/>
      <c r="L47" s="228"/>
      <c r="M47" s="45"/>
    </row>
    <row r="48" spans="1:13" x14ac:dyDescent="0.2">
      <c r="A48" s="214">
        <v>2029</v>
      </c>
      <c r="B48" s="215">
        <f>'Population Projections'!$J$7/5</f>
        <v>1997093.8</v>
      </c>
      <c r="C48" s="216" t="s">
        <v>324</v>
      </c>
      <c r="D48" s="217">
        <f>VLOOKUP(A48,'Escalation Factors'!$E$17:$F$44,2,FALSE)</f>
        <v>1.1187056687221286</v>
      </c>
      <c r="E48" s="227">
        <f>B48*D48*'2025 Water - Charge'!$G$48</f>
        <v>6973022.4500764161</v>
      </c>
      <c r="F48" s="228"/>
      <c r="G48" s="229"/>
      <c r="H48" s="228"/>
      <c r="I48" s="228"/>
      <c r="J48" s="228"/>
      <c r="K48" s="229"/>
      <c r="L48" s="228"/>
      <c r="M48" s="45"/>
    </row>
    <row r="49" spans="1:13" x14ac:dyDescent="0.2">
      <c r="A49" s="71">
        <v>2029</v>
      </c>
      <c r="B49" s="222"/>
      <c r="C49" s="223"/>
      <c r="D49" s="137"/>
      <c r="E49" s="200">
        <f>SUBTOTAL(9,E46:E48)</f>
        <v>18961011.604058061</v>
      </c>
      <c r="F49" s="228">
        <f>F45+E49</f>
        <v>113926489.82680863</v>
      </c>
      <c r="G49" s="229">
        <f>'2025 Water - Phase Costs'!$R$73/5</f>
        <v>18864820.532762103</v>
      </c>
      <c r="H49" s="228">
        <f>G49+H45</f>
        <v>108734126.33754897</v>
      </c>
      <c r="I49" s="228">
        <f>F49-H49</f>
        <v>5192363.4892596602</v>
      </c>
      <c r="J49" s="228">
        <f>I49*(IF(L45&gt;0,$N$7,$N$4))</f>
        <v>83025.892193261971</v>
      </c>
      <c r="K49" s="229">
        <f>(1+(IF(L45&gt;0,$N$7,$N$4)))*K45+J49</f>
        <v>580099.47926542663</v>
      </c>
      <c r="L49" s="228">
        <f>I49+K49</f>
        <v>5772462.9685250865</v>
      </c>
      <c r="M49" s="45"/>
    </row>
    <row r="50" spans="1:13" x14ac:dyDescent="0.2">
      <c r="A50" s="214">
        <v>2030</v>
      </c>
      <c r="B50" s="215">
        <f>'Population Projections'!$F$7/5</f>
        <v>540.6</v>
      </c>
      <c r="C50" s="216" t="s">
        <v>322</v>
      </c>
      <c r="D50" s="217">
        <f>VLOOKUP(A50,'Escalation Factors'!$E$17:$F$44,2,FALSE)</f>
        <v>1.1505216579405859</v>
      </c>
      <c r="E50" s="227">
        <f>B50*D50*'2025 Water - Charge'!$G$40</f>
        <v>4233755.6336340634</v>
      </c>
      <c r="F50" s="229"/>
      <c r="G50" s="229"/>
      <c r="H50" s="228"/>
      <c r="I50" s="228"/>
      <c r="J50" s="228"/>
      <c r="K50" s="229"/>
      <c r="L50" s="228"/>
      <c r="M50" s="45"/>
    </row>
    <row r="51" spans="1:13" x14ac:dyDescent="0.2">
      <c r="A51" s="214">
        <v>2030</v>
      </c>
      <c r="B51" s="215">
        <f>'Population Projections'!$G$7/5</f>
        <v>1539</v>
      </c>
      <c r="C51" s="216" t="s">
        <v>323</v>
      </c>
      <c r="D51" s="217">
        <f>VLOOKUP(A51,'Escalation Factors'!$E$17:$F$44,2,FALSE)</f>
        <v>1.1505216579405859</v>
      </c>
      <c r="E51" s="227">
        <f>B51*D51*'2025 Water - Charge'!$G$42</f>
        <v>8095171.9318868192</v>
      </c>
      <c r="F51" s="229"/>
      <c r="G51" s="229"/>
      <c r="H51" s="228"/>
      <c r="I51" s="228"/>
      <c r="J51" s="228"/>
      <c r="K51" s="229"/>
      <c r="L51" s="228"/>
      <c r="M51" s="45"/>
    </row>
    <row r="52" spans="1:13" x14ac:dyDescent="0.2">
      <c r="A52" s="214">
        <v>2030</v>
      </c>
      <c r="B52" s="215">
        <f>'Population Projections'!$J$7/5</f>
        <v>1997093.8</v>
      </c>
      <c r="C52" s="216" t="s">
        <v>324</v>
      </c>
      <c r="D52" s="217">
        <f>VLOOKUP(A52,'Escalation Factors'!$E$17:$F$44,2,FALSE)</f>
        <v>1.1505216579405859</v>
      </c>
      <c r="E52" s="227">
        <f>B52*D52*'2025 Water - Charge'!$G$48</f>
        <v>7171335.2085565897</v>
      </c>
      <c r="F52" s="229"/>
      <c r="G52" s="229"/>
      <c r="H52" s="228"/>
      <c r="I52" s="228"/>
      <c r="J52" s="228"/>
      <c r="K52" s="229"/>
      <c r="L52" s="228"/>
      <c r="M52" s="45"/>
    </row>
    <row r="53" spans="1:13" x14ac:dyDescent="0.2">
      <c r="A53" s="71">
        <v>2030</v>
      </c>
      <c r="B53" s="222"/>
      <c r="C53" s="223"/>
      <c r="D53" s="137"/>
      <c r="E53" s="200">
        <f>SUBTOTAL(9,E50:E52)</f>
        <v>19500262.774077471</v>
      </c>
      <c r="F53" s="229">
        <f>F49+E53</f>
        <v>133426752.60088611</v>
      </c>
      <c r="G53" s="229">
        <f>'2025 Water - Phase Costs'!$R$73/5</f>
        <v>18864820.532762103</v>
      </c>
      <c r="H53" s="228">
        <f>G53+H49</f>
        <v>127598946.87031108</v>
      </c>
      <c r="I53" s="228">
        <f>F53-H53</f>
        <v>5827805.7305750251</v>
      </c>
      <c r="J53" s="228">
        <f>I53*(IF(L49&gt;0,$N$7,$N$4))</f>
        <v>93186.613631894652</v>
      </c>
      <c r="K53" s="229">
        <f>(1+(IF(L49&gt;0,$N$7,$N$4)))*K49+J53</f>
        <v>682561.88357077551</v>
      </c>
      <c r="L53" s="228">
        <f>I53+K53</f>
        <v>6510367.6141458005</v>
      </c>
      <c r="M53" s="45"/>
    </row>
    <row r="54" spans="1:13" x14ac:dyDescent="0.2">
      <c r="A54" s="214">
        <v>2031</v>
      </c>
      <c r="B54" s="215">
        <f>'Population Projections'!$F$8/5</f>
        <v>565</v>
      </c>
      <c r="C54" s="216" t="s">
        <v>322</v>
      </c>
      <c r="D54" s="217">
        <f>VLOOKUP(A54,'Escalation Factors'!$E$17:$F$44,2,FALSE)</f>
        <v>1.1832424938924164</v>
      </c>
      <c r="E54" s="227">
        <f>B54*D54*'2025 Water - Charge'!$G$40</f>
        <v>4550688.9729520129</v>
      </c>
      <c r="F54" s="229"/>
      <c r="G54" s="229"/>
      <c r="H54" s="228"/>
      <c r="I54" s="228"/>
      <c r="J54" s="228"/>
      <c r="K54" s="229"/>
      <c r="L54" s="228"/>
      <c r="M54" s="45"/>
    </row>
    <row r="55" spans="1:13" x14ac:dyDescent="0.2">
      <c r="A55" s="214">
        <v>2031</v>
      </c>
      <c r="B55" s="215">
        <f>'Population Projections'!$G$8/5</f>
        <v>1607.8</v>
      </c>
      <c r="C55" s="216" t="s">
        <v>323</v>
      </c>
      <c r="D55" s="217">
        <f>VLOOKUP(A55,'Escalation Factors'!$E$17:$F$44,2,FALSE)</f>
        <v>1.1832424938924164</v>
      </c>
      <c r="E55" s="227">
        <f>B55*D55*'2025 Water - Charge'!$G$42</f>
        <v>8697580.1844419762</v>
      </c>
      <c r="F55" s="229"/>
      <c r="G55" s="229"/>
      <c r="H55" s="228"/>
      <c r="I55" s="228"/>
      <c r="J55" s="228"/>
      <c r="K55" s="229"/>
      <c r="L55" s="228"/>
      <c r="M55" s="45"/>
    </row>
    <row r="56" spans="1:13" x14ac:dyDescent="0.2">
      <c r="A56" s="214">
        <v>2031</v>
      </c>
      <c r="B56" s="215">
        <f>'Population Projections'!$J$8/5</f>
        <v>2086443.6</v>
      </c>
      <c r="C56" s="216" t="s">
        <v>324</v>
      </c>
      <c r="D56" s="217">
        <f>VLOOKUP(A56,'Escalation Factors'!$E$17:$F$44,2,FALSE)</f>
        <v>1.1832424938924164</v>
      </c>
      <c r="E56" s="227">
        <f>B56*D56*'2025 Water - Charge'!$G$48</f>
        <v>7705257.7139676707</v>
      </c>
      <c r="F56" s="229"/>
      <c r="G56" s="229"/>
      <c r="H56" s="228"/>
      <c r="I56" s="228"/>
      <c r="J56" s="228"/>
      <c r="K56" s="229"/>
      <c r="L56" s="228"/>
      <c r="M56" s="45"/>
    </row>
    <row r="57" spans="1:13" x14ac:dyDescent="0.2">
      <c r="A57" s="71">
        <v>2031</v>
      </c>
      <c r="B57" s="222"/>
      <c r="C57" s="223"/>
      <c r="D57" s="137"/>
      <c r="E57" s="200">
        <f>SUBTOTAL(9,E54:E56)</f>
        <v>20953526.871361658</v>
      </c>
      <c r="F57" s="229">
        <f>F53+E57</f>
        <v>154380279.47224778</v>
      </c>
      <c r="G57" s="229">
        <f>'2025 Water - Phase Costs'!$R$94/5</f>
        <v>31104949.38125388</v>
      </c>
      <c r="H57" s="228">
        <f>G57+H53</f>
        <v>158703896.25156495</v>
      </c>
      <c r="I57" s="228">
        <f>F57-H57</f>
        <v>-4323616.7793171704</v>
      </c>
      <c r="J57" s="228">
        <f>I57*(IF(L53&gt;0,$N$7,$N$4))</f>
        <v>-69134.632301281556</v>
      </c>
      <c r="K57" s="229">
        <f>(1+(IF(L53&gt;0,$N$7,$N$4)))*K53+J57</f>
        <v>624341.41578779067</v>
      </c>
      <c r="L57" s="228">
        <f>I57+K57</f>
        <v>-3699275.3635293795</v>
      </c>
      <c r="M57" s="45"/>
    </row>
    <row r="58" spans="1:13" x14ac:dyDescent="0.2">
      <c r="A58" s="214">
        <v>2032</v>
      </c>
      <c r="B58" s="215">
        <f>'Population Projections'!$F$8/5</f>
        <v>565</v>
      </c>
      <c r="C58" s="216" t="s">
        <v>322</v>
      </c>
      <c r="D58" s="217">
        <f>VLOOKUP(A58,'Escalation Factors'!$E$17:$F$44,2,FALSE)</f>
        <v>1.2168939104187166</v>
      </c>
      <c r="E58" s="227">
        <f>B58*D58*'2025 Water - Charge'!$G$40</f>
        <v>4680110.5673427675</v>
      </c>
      <c r="F58" s="229"/>
      <c r="G58" s="229"/>
      <c r="H58" s="228"/>
      <c r="I58" s="228"/>
      <c r="J58" s="228"/>
      <c r="K58" s="229"/>
      <c r="L58" s="228"/>
      <c r="M58" s="45"/>
    </row>
    <row r="59" spans="1:13" x14ac:dyDescent="0.2">
      <c r="A59" s="214">
        <v>2032</v>
      </c>
      <c r="B59" s="215">
        <f>'Population Projections'!$G$8/5</f>
        <v>1607.8</v>
      </c>
      <c r="C59" s="216" t="s">
        <v>323</v>
      </c>
      <c r="D59" s="217">
        <f>VLOOKUP(A59,'Escalation Factors'!$E$17:$F$44,2,FALSE)</f>
        <v>1.2168939104187166</v>
      </c>
      <c r="E59" s="227">
        <f>B59*D59*'2025 Water - Charge'!$G$42</f>
        <v>8944939.3648875058</v>
      </c>
      <c r="F59" s="229"/>
      <c r="G59" s="229"/>
      <c r="H59" s="228"/>
      <c r="I59" s="228"/>
      <c r="J59" s="228"/>
      <c r="K59" s="229"/>
      <c r="L59" s="228"/>
      <c r="M59" s="45"/>
    </row>
    <row r="60" spans="1:13" x14ac:dyDescent="0.2">
      <c r="A60" s="214">
        <v>2032</v>
      </c>
      <c r="B60" s="215">
        <f>'Population Projections'!$J$8/5</f>
        <v>2086443.6</v>
      </c>
      <c r="C60" s="216" t="s">
        <v>324</v>
      </c>
      <c r="D60" s="217">
        <f>VLOOKUP(A60,'Escalation Factors'!$E$17:$F$44,2,FALSE)</f>
        <v>1.2168939104187166</v>
      </c>
      <c r="E60" s="227">
        <f>B60*D60*'2025 Water - Charge'!$G$48</f>
        <v>7924395.2433529114</v>
      </c>
      <c r="F60" s="229"/>
      <c r="G60" s="229"/>
      <c r="H60" s="228"/>
      <c r="I60" s="228"/>
      <c r="J60" s="228"/>
      <c r="K60" s="229"/>
      <c r="L60" s="228"/>
      <c r="M60" s="45"/>
    </row>
    <row r="61" spans="1:13" x14ac:dyDescent="0.2">
      <c r="A61" s="71">
        <v>2032</v>
      </c>
      <c r="B61" s="222"/>
      <c r="C61" s="223"/>
      <c r="D61" s="137"/>
      <c r="E61" s="200">
        <f>SUBTOTAL(9,E58:E60)</f>
        <v>21549445.175583184</v>
      </c>
      <c r="F61" s="229">
        <f>F57+E61</f>
        <v>175929724.64783096</v>
      </c>
      <c r="G61" s="229">
        <f>'2025 Water - Phase Costs'!$R$94/5</f>
        <v>31104949.38125388</v>
      </c>
      <c r="H61" s="228">
        <f>G61+H57</f>
        <v>189808845.63281882</v>
      </c>
      <c r="I61" s="228">
        <f>F61-H61</f>
        <v>-13879120.984987855</v>
      </c>
      <c r="J61" s="228">
        <f>I61*(IF(L57&gt;0,$N$7,$N$4))</f>
        <v>-326020.55193736474</v>
      </c>
      <c r="K61" s="229">
        <f>(1+(IF(L57&gt;0,$N$7,$N$4)))*K57+J61</f>
        <v>312986.64370728109</v>
      </c>
      <c r="L61" s="228">
        <f>I61+K61</f>
        <v>-13566134.341280574</v>
      </c>
      <c r="M61" s="45"/>
    </row>
    <row r="62" spans="1:13" x14ac:dyDescent="0.2">
      <c r="A62" s="214">
        <v>2033</v>
      </c>
      <c r="B62" s="215">
        <f>'Population Projections'!$F$8/5</f>
        <v>565</v>
      </c>
      <c r="C62" s="216" t="s">
        <v>322</v>
      </c>
      <c r="D62" s="217">
        <f>VLOOKUP(A62,'Escalation Factors'!$E$17:$F$44,2,FALSE)</f>
        <v>1.2515023732310251</v>
      </c>
      <c r="E62" s="227">
        <f>B62*D62*'2025 Water - Charge'!$G$40</f>
        <v>4813212.9118779963</v>
      </c>
      <c r="F62" s="229"/>
      <c r="G62" s="229"/>
      <c r="H62" s="228"/>
      <c r="I62" s="228"/>
      <c r="J62" s="228"/>
      <c r="K62" s="229"/>
      <c r="L62" s="228"/>
      <c r="M62" s="45"/>
    </row>
    <row r="63" spans="1:13" x14ac:dyDescent="0.2">
      <c r="A63" s="214">
        <v>2033</v>
      </c>
      <c r="B63" s="215">
        <f>'Population Projections'!$G$8/5</f>
        <v>1607.8</v>
      </c>
      <c r="C63" s="216" t="s">
        <v>323</v>
      </c>
      <c r="D63" s="217">
        <f>VLOOKUP(A63,'Escalation Factors'!$E$17:$F$44,2,FALSE)</f>
        <v>1.2515023732310251</v>
      </c>
      <c r="E63" s="227">
        <f>B63*D63*'2025 Water - Charge'!$G$42</f>
        <v>9199333.440424908</v>
      </c>
      <c r="F63" s="229"/>
      <c r="G63" s="229"/>
      <c r="H63" s="228"/>
      <c r="I63" s="228"/>
      <c r="J63" s="228"/>
      <c r="K63" s="229"/>
      <c r="L63" s="228"/>
      <c r="M63" s="45"/>
    </row>
    <row r="64" spans="1:13" x14ac:dyDescent="0.2">
      <c r="A64" s="214">
        <v>2033</v>
      </c>
      <c r="B64" s="215">
        <f>'Population Projections'!$J$8/5</f>
        <v>2086443.6</v>
      </c>
      <c r="C64" s="216" t="s">
        <v>324</v>
      </c>
      <c r="D64" s="217">
        <f>VLOOKUP(A64,'Escalation Factors'!$E$17:$F$44,2,FALSE)</f>
        <v>1.2515023732310251</v>
      </c>
      <c r="E64" s="227">
        <f>B64*D64*'2025 Water - Charge'!$G$48</f>
        <v>8149765.0440738695</v>
      </c>
      <c r="F64" s="229"/>
      <c r="G64" s="229"/>
      <c r="H64" s="228"/>
      <c r="I64" s="228"/>
      <c r="J64" s="228"/>
      <c r="K64" s="229"/>
      <c r="L64" s="228"/>
      <c r="M64" s="45"/>
    </row>
    <row r="65" spans="1:13" x14ac:dyDescent="0.2">
      <c r="A65" s="71">
        <v>2033</v>
      </c>
      <c r="B65" s="222"/>
      <c r="C65" s="223"/>
      <c r="D65" s="137"/>
      <c r="E65" s="200">
        <f>SUBTOTAL(9,E62:E64)</f>
        <v>22162311.396376774</v>
      </c>
      <c r="F65" s="229">
        <f>F61+E65</f>
        <v>198092036.04420775</v>
      </c>
      <c r="G65" s="229">
        <f>'2025 Water - Phase Costs'!$R$94/5</f>
        <v>31104949.38125388</v>
      </c>
      <c r="H65" s="228">
        <f>G65+H61</f>
        <v>220913795.01407269</v>
      </c>
      <c r="I65" s="228">
        <f>F65-H65</f>
        <v>-22821758.969864935</v>
      </c>
      <c r="J65" s="228">
        <f>I65*(IF(L61&gt;0,$N$7,$N$4))</f>
        <v>-536083.11820212728</v>
      </c>
      <c r="K65" s="229">
        <f>(1+(IF(L61&gt;0,$N$7,$N$4)))*K61+J65</f>
        <v>-215744.41823416215</v>
      </c>
      <c r="L65" s="228">
        <f>I65+K65</f>
        <v>-23037503.388099097</v>
      </c>
      <c r="M65" s="45"/>
    </row>
    <row r="66" spans="1:13" x14ac:dyDescent="0.2">
      <c r="A66" s="214">
        <v>2034</v>
      </c>
      <c r="B66" s="215">
        <f>'Population Projections'!$F$8/5</f>
        <v>565</v>
      </c>
      <c r="C66" s="216" t="s">
        <v>322</v>
      </c>
      <c r="D66" s="217">
        <f>VLOOKUP(A66,'Escalation Factors'!$E$17:$F$44,2,FALSE)</f>
        <v>1.2870951007257154</v>
      </c>
      <c r="E66" s="227">
        <f>B66*D66*'2025 Water - Charge'!$G$40</f>
        <v>4950100.6870918069</v>
      </c>
      <c r="F66" s="229"/>
      <c r="G66" s="229"/>
      <c r="H66" s="228"/>
      <c r="I66" s="228"/>
      <c r="J66" s="228"/>
      <c r="K66" s="229"/>
      <c r="L66" s="228"/>
      <c r="M66" s="45"/>
    </row>
    <row r="67" spans="1:13" x14ac:dyDescent="0.2">
      <c r="A67" s="214">
        <v>2034</v>
      </c>
      <c r="B67" s="215">
        <f>'Population Projections'!$G$8/5</f>
        <v>1607.8</v>
      </c>
      <c r="C67" s="216" t="s">
        <v>323</v>
      </c>
      <c r="D67" s="217">
        <f>VLOOKUP(A67,'Escalation Factors'!$E$17:$F$44,2,FALSE)</f>
        <v>1.2870951007257154</v>
      </c>
      <c r="E67" s="227">
        <f>B67*D67*'2025 Water - Charge'!$G$42</f>
        <v>9460962.4834705926</v>
      </c>
      <c r="F67" s="229"/>
      <c r="G67" s="229"/>
      <c r="H67" s="228"/>
      <c r="I67" s="228"/>
      <c r="J67" s="228"/>
      <c r="K67" s="229"/>
      <c r="L67" s="228"/>
      <c r="M67" s="45"/>
    </row>
    <row r="68" spans="1:13" x14ac:dyDescent="0.2">
      <c r="A68" s="214">
        <v>2034</v>
      </c>
      <c r="B68" s="215">
        <f>'Population Projections'!$J$8/5</f>
        <v>2086443.6</v>
      </c>
      <c r="C68" s="216" t="s">
        <v>324</v>
      </c>
      <c r="D68" s="217">
        <f>VLOOKUP(A68,'Escalation Factors'!$E$17:$F$44,2,FALSE)</f>
        <v>1.2870951007257154</v>
      </c>
      <c r="E68" s="227">
        <f>B68*D68*'2025 Water - Charge'!$G$48</f>
        <v>8381544.3619273296</v>
      </c>
      <c r="F68" s="229"/>
      <c r="G68" s="229"/>
      <c r="H68" s="228"/>
      <c r="I68" s="228"/>
      <c r="J68" s="228"/>
      <c r="K68" s="229"/>
      <c r="L68" s="228"/>
      <c r="M68" s="45"/>
    </row>
    <row r="69" spans="1:13" x14ac:dyDescent="0.2">
      <c r="A69" s="71">
        <v>2034</v>
      </c>
      <c r="B69" s="222"/>
      <c r="C69" s="223"/>
      <c r="D69" s="137"/>
      <c r="E69" s="200">
        <f>SUBTOTAL(9,E66:E68)</f>
        <v>22792607.532489728</v>
      </c>
      <c r="F69" s="229">
        <f>F65+E69</f>
        <v>220884643.57669747</v>
      </c>
      <c r="G69" s="229">
        <f>'2025 Water - Phase Costs'!$R$94/5</f>
        <v>31104949.38125388</v>
      </c>
      <c r="H69" s="228">
        <f>G69+H65</f>
        <v>252018744.39532655</v>
      </c>
      <c r="I69" s="228">
        <f>F69-H69</f>
        <v>-31134100.818629086</v>
      </c>
      <c r="J69" s="228">
        <f>I69*(IF(L65&gt;0,$N$7,$N$4))</f>
        <v>-731340.02822959726</v>
      </c>
      <c r="K69" s="229">
        <f>(1+(IF(L65&gt;0,$N$7,$N$4)))*K65+J69</f>
        <v>-952152.28284807992</v>
      </c>
      <c r="L69" s="228">
        <f>I69+K69</f>
        <v>-32086253.101477165</v>
      </c>
      <c r="M69" s="45"/>
    </row>
    <row r="70" spans="1:13" x14ac:dyDescent="0.2">
      <c r="A70" s="214">
        <v>2035</v>
      </c>
      <c r="B70" s="215">
        <f>'Population Projections'!$F$8/5</f>
        <v>565</v>
      </c>
      <c r="C70" s="216" t="s">
        <v>322</v>
      </c>
      <c r="D70" s="217">
        <f>VLOOKUP(A70,'Escalation Factors'!$E$17:$F$44,2,FALSE)</f>
        <v>1.3237000853903549</v>
      </c>
      <c r="E70" s="227">
        <f>B70*D70*'2025 Water - Charge'!$G$40</f>
        <v>5090881.5506326985</v>
      </c>
      <c r="F70" s="229"/>
      <c r="G70" s="229"/>
      <c r="H70" s="228"/>
      <c r="I70" s="228"/>
      <c r="J70" s="228"/>
      <c r="K70" s="229"/>
      <c r="L70" s="228"/>
      <c r="M70" s="45"/>
    </row>
    <row r="71" spans="1:13" x14ac:dyDescent="0.2">
      <c r="A71" s="214">
        <v>2035</v>
      </c>
      <c r="B71" s="215">
        <f>'Population Projections'!$G$8/5</f>
        <v>1607.8</v>
      </c>
      <c r="C71" s="216" t="s">
        <v>323</v>
      </c>
      <c r="D71" s="217">
        <f>VLOOKUP(A71,'Escalation Factors'!$E$17:$F$44,2,FALSE)</f>
        <v>1.3237000853903549</v>
      </c>
      <c r="E71" s="227">
        <f>B71*D71*'2025 Water - Charge'!$G$42</f>
        <v>9730032.2565004956</v>
      </c>
      <c r="F71" s="229"/>
      <c r="G71" s="229"/>
      <c r="H71" s="228"/>
      <c r="I71" s="228"/>
      <c r="J71" s="228"/>
      <c r="K71" s="229"/>
      <c r="L71" s="228"/>
      <c r="M71" s="45"/>
    </row>
    <row r="72" spans="1:13" x14ac:dyDescent="0.2">
      <c r="A72" s="214">
        <v>2035</v>
      </c>
      <c r="B72" s="215">
        <f>'Population Projections'!$J$8/5</f>
        <v>2086443.6</v>
      </c>
      <c r="C72" s="216" t="s">
        <v>324</v>
      </c>
      <c r="D72" s="217">
        <f>VLOOKUP(A72,'Escalation Factors'!$E$17:$F$44,2,FALSE)</f>
        <v>1.3237000853903549</v>
      </c>
      <c r="E72" s="227">
        <f>B72*D72*'2025 Water - Charge'!$G$48</f>
        <v>8619915.4835805446</v>
      </c>
      <c r="F72" s="229"/>
      <c r="G72" s="229"/>
      <c r="H72" s="228"/>
      <c r="I72" s="228"/>
      <c r="J72" s="228"/>
      <c r="K72" s="229"/>
      <c r="L72" s="228"/>
      <c r="M72" s="45"/>
    </row>
    <row r="73" spans="1:13" x14ac:dyDescent="0.2">
      <c r="A73" s="71">
        <v>2035</v>
      </c>
      <c r="B73" s="222"/>
      <c r="C73" s="223"/>
      <c r="D73" s="137"/>
      <c r="E73" s="200">
        <f>SUBTOTAL(9,E70:E72)</f>
        <v>23440829.290713739</v>
      </c>
      <c r="F73" s="229">
        <f>F69+E73</f>
        <v>244325472.8674112</v>
      </c>
      <c r="G73" s="229">
        <f>'2025 Water - Phase Costs'!$R$94/5</f>
        <v>31104949.38125388</v>
      </c>
      <c r="H73" s="228">
        <f>G73+H69</f>
        <v>283123693.77658045</v>
      </c>
      <c r="I73" s="228">
        <f>F73-H73</f>
        <v>-38798220.909169257</v>
      </c>
      <c r="J73" s="228">
        <f>I73*(IF(L69&gt;0,$N$7,$N$4))</f>
        <v>-911370.20915638586</v>
      </c>
      <c r="K73" s="229">
        <f>(1+(IF(L69&gt;0,$N$7,$N$4)))*K69+J73</f>
        <v>-1885888.5491285673</v>
      </c>
      <c r="L73" s="228">
        <f>I73+K73</f>
        <v>-40684109.458297826</v>
      </c>
      <c r="M73" s="45"/>
    </row>
    <row r="74" spans="1:13" x14ac:dyDescent="0.2">
      <c r="A74" s="214">
        <v>2036</v>
      </c>
      <c r="B74" s="215">
        <f>'Population Projections'!$F$9/5</f>
        <v>604.79999999999995</v>
      </c>
      <c r="C74" s="216" t="s">
        <v>322</v>
      </c>
      <c r="D74" s="217">
        <f>VLOOKUP(A74,'Escalation Factors'!$E$17:$F$44,2,FALSE)</f>
        <v>1.3613461158188567</v>
      </c>
      <c r="E74" s="227">
        <f>B74*D74*'2025 Water - Charge'!$G$40</f>
        <v>5604479.5239378624</v>
      </c>
      <c r="F74" s="229"/>
      <c r="G74" s="229"/>
      <c r="H74" s="228"/>
      <c r="I74" s="228"/>
      <c r="J74" s="228"/>
      <c r="K74" s="229"/>
      <c r="L74" s="228"/>
      <c r="M74" s="45"/>
    </row>
    <row r="75" spans="1:13" x14ac:dyDescent="0.2">
      <c r="A75" s="214">
        <v>2036</v>
      </c>
      <c r="B75" s="215">
        <f>'Population Projections'!$G$9/5</f>
        <v>1721.4</v>
      </c>
      <c r="C75" s="216" t="s">
        <v>323</v>
      </c>
      <c r="D75" s="217">
        <f>VLOOKUP(A75,'Escalation Factors'!$E$17:$F$44,2,FALSE)</f>
        <v>1.3613461158188567</v>
      </c>
      <c r="E75" s="227">
        <f>B75*D75*'2025 Water - Charge'!$G$42</f>
        <v>10713787.149638679</v>
      </c>
      <c r="F75" s="229"/>
      <c r="G75" s="229"/>
      <c r="H75" s="228"/>
      <c r="I75" s="228"/>
      <c r="J75" s="228"/>
      <c r="K75" s="229"/>
      <c r="L75" s="228"/>
      <c r="M75" s="45"/>
    </row>
    <row r="76" spans="1:13" x14ac:dyDescent="0.2">
      <c r="A76" s="214">
        <v>2036</v>
      </c>
      <c r="B76" s="215">
        <f>'Population Projections'!$J$9/5</f>
        <v>2233741</v>
      </c>
      <c r="C76" s="216" t="s">
        <v>324</v>
      </c>
      <c r="D76" s="217">
        <f>VLOOKUP(A76,'Escalation Factors'!$E$17:$F$44,2,FALSE)</f>
        <v>1.3613461158188567</v>
      </c>
      <c r="E76" s="227">
        <f>B76*D76*'2025 Water - Charge'!$G$48</f>
        <v>9490916.085011214</v>
      </c>
      <c r="F76" s="229"/>
      <c r="G76" s="229"/>
      <c r="H76" s="228"/>
      <c r="I76" s="228"/>
      <c r="J76" s="228"/>
      <c r="K76" s="229"/>
      <c r="L76" s="228"/>
      <c r="M76" s="45"/>
    </row>
    <row r="77" spans="1:13" x14ac:dyDescent="0.2">
      <c r="A77" s="71">
        <v>2036</v>
      </c>
      <c r="B77" s="222"/>
      <c r="C77" s="223"/>
      <c r="D77" s="137"/>
      <c r="E77" s="200">
        <f>SUBTOTAL(9,E74:E76)</f>
        <v>25809182.758587755</v>
      </c>
      <c r="F77" s="229">
        <f>F73+E77</f>
        <v>270134655.62599897</v>
      </c>
      <c r="G77" s="229">
        <f>'2025 Water - Phase Costs'!$R$102/5</f>
        <v>16381365.822254622</v>
      </c>
      <c r="H77" s="228">
        <f>G77+H73</f>
        <v>299505059.59883505</v>
      </c>
      <c r="I77" s="228">
        <f>F77-H77</f>
        <v>-29370403.972836077</v>
      </c>
      <c r="J77" s="228">
        <f>I77*(IF(L73&gt;0,$N$7,$N$4))</f>
        <v>-689910.78932191944</v>
      </c>
      <c r="K77" s="229">
        <f>(1+(IF(L73&gt;0,$N$7,$N$4)))*K73+J77</f>
        <v>-2620098.8604695168</v>
      </c>
      <c r="L77" s="228">
        <f>I77+K77</f>
        <v>-31990502.833305594</v>
      </c>
      <c r="M77" s="45"/>
    </row>
    <row r="78" spans="1:13" x14ac:dyDescent="0.2">
      <c r="A78" s="214">
        <v>2037</v>
      </c>
      <c r="B78" s="215">
        <f>'Population Projections'!$F$9/5</f>
        <v>604.79999999999995</v>
      </c>
      <c r="C78" s="216" t="s">
        <v>322</v>
      </c>
      <c r="D78" s="217">
        <f>VLOOKUP(A78,'Escalation Factors'!$E$17:$F$44,2,FALSE)</f>
        <v>1.400062799352745</v>
      </c>
      <c r="E78" s="227">
        <f>B78*D78*'2025 Water - Charge'!$G$40</f>
        <v>5763870.9215986561</v>
      </c>
      <c r="F78" s="229"/>
      <c r="G78" s="229"/>
      <c r="H78" s="228"/>
      <c r="I78" s="228"/>
      <c r="J78" s="228"/>
      <c r="K78" s="229"/>
      <c r="L78" s="228"/>
      <c r="M78" s="45"/>
    </row>
    <row r="79" spans="1:13" x14ac:dyDescent="0.2">
      <c r="A79" s="214">
        <v>2037</v>
      </c>
      <c r="B79" s="215">
        <f>'Population Projections'!$G$9/5</f>
        <v>1721.4</v>
      </c>
      <c r="C79" s="216" t="s">
        <v>323</v>
      </c>
      <c r="D79" s="217">
        <f>VLOOKUP(A79,'Escalation Factors'!$E$17:$F$44,2,FALSE)</f>
        <v>1.400062799352745</v>
      </c>
      <c r="E79" s="227">
        <f>B79*D79*'2025 Water - Charge'!$G$42</f>
        <v>11018487.2561744</v>
      </c>
      <c r="F79" s="229"/>
      <c r="G79" s="229"/>
      <c r="H79" s="228"/>
      <c r="I79" s="228"/>
      <c r="J79" s="228"/>
      <c r="K79" s="229"/>
      <c r="L79" s="228"/>
      <c r="M79" s="45"/>
    </row>
    <row r="80" spans="1:13" x14ac:dyDescent="0.2">
      <c r="A80" s="214">
        <v>2037</v>
      </c>
      <c r="B80" s="215">
        <f>'Population Projections'!$J$9/5</f>
        <v>2233741</v>
      </c>
      <c r="C80" s="216" t="s">
        <v>324</v>
      </c>
      <c r="D80" s="217">
        <f>VLOOKUP(A80,'Escalation Factors'!$E$17:$F$44,2,FALSE)</f>
        <v>1.400062799352745</v>
      </c>
      <c r="E80" s="227">
        <f>B80*D80*'2025 Water - Charge'!$G$48</f>
        <v>9760837.738468932</v>
      </c>
      <c r="F80" s="229"/>
      <c r="G80" s="229"/>
      <c r="H80" s="228"/>
      <c r="I80" s="228"/>
      <c r="J80" s="228"/>
      <c r="K80" s="229"/>
      <c r="L80" s="228"/>
      <c r="M80" s="45"/>
    </row>
    <row r="81" spans="1:14" x14ac:dyDescent="0.2">
      <c r="A81" s="71">
        <v>2037</v>
      </c>
      <c r="B81" s="222"/>
      <c r="C81" s="223"/>
      <c r="D81" s="137"/>
      <c r="E81" s="200">
        <f>SUBTOTAL(9,E78:E80)</f>
        <v>26543195.916241989</v>
      </c>
      <c r="F81" s="229">
        <f>F77+E81</f>
        <v>296677851.54224098</v>
      </c>
      <c r="G81" s="229">
        <f>'2025 Water - Phase Costs'!$R$102/5</f>
        <v>16381365.822254622</v>
      </c>
      <c r="H81" s="228">
        <f>G81+H77</f>
        <v>315886425.42108965</v>
      </c>
      <c r="I81" s="228">
        <f>F81-H81</f>
        <v>-19208573.878848672</v>
      </c>
      <c r="J81" s="228">
        <f>I81*(IF(L77&gt;0,$N$7,$N$4))</f>
        <v>-451209.40041415533</v>
      </c>
      <c r="K81" s="229">
        <f>(1+(IF(L77&gt;0,$N$7,$N$4)))*K77+J81</f>
        <v>-3132854.3831161009</v>
      </c>
      <c r="L81" s="228">
        <f>I81+K81</f>
        <v>-22341428.261964772</v>
      </c>
      <c r="M81" s="45"/>
    </row>
    <row r="82" spans="1:14" x14ac:dyDescent="0.2">
      <c r="A82" s="214">
        <v>2038</v>
      </c>
      <c r="B82" s="215">
        <f>'Population Projections'!$F$9/5</f>
        <v>604.79999999999995</v>
      </c>
      <c r="C82" s="216" t="s">
        <v>322</v>
      </c>
      <c r="D82" s="217">
        <f>VLOOKUP(A82,'Escalation Factors'!$E$17:$F$44,2,FALSE)</f>
        <v>1.439880585366337</v>
      </c>
      <c r="E82" s="227">
        <f>B82*D82*'2025 Water - Charge'!$G$40</f>
        <v>5927795.4106089212</v>
      </c>
      <c r="F82" s="229"/>
      <c r="G82" s="229"/>
      <c r="H82" s="228"/>
      <c r="I82" s="228"/>
      <c r="J82" s="228"/>
      <c r="K82" s="229"/>
      <c r="L82" s="228"/>
      <c r="M82" s="45"/>
    </row>
    <row r="83" spans="1:14" x14ac:dyDescent="0.2">
      <c r="A83" s="214">
        <v>2038</v>
      </c>
      <c r="B83" s="215">
        <f>'Population Projections'!$G$9/5</f>
        <v>1721.4</v>
      </c>
      <c r="C83" s="216" t="s">
        <v>323</v>
      </c>
      <c r="D83" s="217">
        <f>VLOOKUP(A83,'Escalation Factors'!$E$17:$F$44,2,FALSE)</f>
        <v>1.439880585366337</v>
      </c>
      <c r="E83" s="227">
        <f>B83*D83*'2025 Water - Charge'!$G$42</f>
        <v>11331853.033740001</v>
      </c>
      <c r="F83" s="229"/>
      <c r="G83" s="229"/>
      <c r="H83" s="228"/>
      <c r="I83" s="228"/>
      <c r="J83" s="228"/>
      <c r="K83" s="229"/>
      <c r="L83" s="228"/>
      <c r="M83" s="45"/>
    </row>
    <row r="84" spans="1:14" x14ac:dyDescent="0.2">
      <c r="A84" s="214">
        <v>2038</v>
      </c>
      <c r="B84" s="215">
        <f>'Population Projections'!$J$9/5</f>
        <v>2233741</v>
      </c>
      <c r="C84" s="216" t="s">
        <v>324</v>
      </c>
      <c r="D84" s="217">
        <f>VLOOKUP(A84,'Escalation Factors'!$E$17:$F$44,2,FALSE)</f>
        <v>1.439880585366337</v>
      </c>
      <c r="E84" s="227">
        <f>B84*D84*'2025 Water - Charge'!$G$48</f>
        <v>10038435.96375099</v>
      </c>
      <c r="F84" s="229"/>
      <c r="G84" s="229"/>
      <c r="H84" s="228"/>
      <c r="I84" s="228"/>
      <c r="J84" s="228"/>
      <c r="K84" s="229"/>
      <c r="L84" s="228"/>
      <c r="M84" s="45"/>
    </row>
    <row r="85" spans="1:14" x14ac:dyDescent="0.2">
      <c r="A85" s="71">
        <v>2038</v>
      </c>
      <c r="B85" s="222"/>
      <c r="C85" s="223"/>
      <c r="D85" s="137"/>
      <c r="E85" s="200">
        <f>SUBTOTAL(9,E82:E84)</f>
        <v>27298084.408099912</v>
      </c>
      <c r="F85" s="229">
        <f>F81+E85</f>
        <v>323975935.95034087</v>
      </c>
      <c r="G85" s="229">
        <f>'2025 Water - Phase Costs'!$R$102/5</f>
        <v>16381365.822254622</v>
      </c>
      <c r="H85" s="228">
        <f>G85+H81</f>
        <v>332267791.24334425</v>
      </c>
      <c r="I85" s="228">
        <f>F85-H85</f>
        <v>-8291855.2930033803</v>
      </c>
      <c r="J85" s="228">
        <f>I85*(IF(L81&gt;0,$N$7,$N$4))</f>
        <v>-194775.68083264941</v>
      </c>
      <c r="K85" s="229">
        <f>(1+(IF(L81&gt;0,$N$7,$N$4)))*K81+J85</f>
        <v>-3401220.8134081475</v>
      </c>
      <c r="L85" s="228">
        <f>I85+K85</f>
        <v>-11693076.106411528</v>
      </c>
      <c r="M85" s="45"/>
    </row>
    <row r="86" spans="1:14" x14ac:dyDescent="0.2">
      <c r="A86" s="214">
        <v>2039</v>
      </c>
      <c r="B86" s="215">
        <f>'Population Projections'!$F$9/5</f>
        <v>604.79999999999995</v>
      </c>
      <c r="C86" s="216" t="s">
        <v>322</v>
      </c>
      <c r="D86" s="217">
        <f>VLOOKUP(A86,'Escalation Factors'!$E$17:$F$44,2,FALSE)</f>
        <v>1.4808307892141559</v>
      </c>
      <c r="E86" s="227">
        <f>B86*D86*'2025 Water - Charge'!$G$40</f>
        <v>6096381.9120866396</v>
      </c>
      <c r="F86" s="229"/>
      <c r="G86" s="229"/>
      <c r="H86" s="228"/>
      <c r="I86" s="228"/>
      <c r="J86" s="228"/>
      <c r="K86" s="229"/>
      <c r="L86" s="228"/>
      <c r="M86" s="45"/>
    </row>
    <row r="87" spans="1:14" x14ac:dyDescent="0.2">
      <c r="A87" s="214">
        <v>2039</v>
      </c>
      <c r="B87" s="215">
        <f>'Population Projections'!$G$9/5</f>
        <v>1721.4</v>
      </c>
      <c r="C87" s="216" t="s">
        <v>323</v>
      </c>
      <c r="D87" s="217">
        <f>VLOOKUP(A87,'Escalation Factors'!$E$17:$F$44,2,FALSE)</f>
        <v>1.4808307892141559</v>
      </c>
      <c r="E87" s="227">
        <f>B87*D87*'2025 Water - Charge'!$G$42</f>
        <v>11654130.934019567</v>
      </c>
      <c r="F87" s="229"/>
      <c r="G87" s="229"/>
      <c r="H87" s="228"/>
      <c r="I87" s="228"/>
      <c r="J87" s="228"/>
      <c r="K87" s="229"/>
      <c r="L87" s="228"/>
      <c r="M87" s="45"/>
    </row>
    <row r="88" spans="1:14" x14ac:dyDescent="0.2">
      <c r="A88" s="214">
        <v>2039</v>
      </c>
      <c r="B88" s="215">
        <f>'Population Projections'!$J$9/5</f>
        <v>2233741</v>
      </c>
      <c r="C88" s="216" t="s">
        <v>324</v>
      </c>
      <c r="D88" s="217">
        <f>VLOOKUP(A88,'Escalation Factors'!$E$17:$F$44,2,FALSE)</f>
        <v>1.4808307892141559</v>
      </c>
      <c r="E88" s="227">
        <f>B88*D88*'2025 Water - Charge'!$G$48</f>
        <v>10323929.08256007</v>
      </c>
      <c r="F88" s="229"/>
      <c r="G88" s="229"/>
      <c r="H88" s="228"/>
      <c r="I88" s="228"/>
      <c r="J88" s="228"/>
      <c r="K88" s="229"/>
      <c r="L88" s="228"/>
      <c r="M88" s="45"/>
    </row>
    <row r="89" spans="1:14" ht="13.5" thickBot="1" x14ac:dyDescent="0.25">
      <c r="A89" s="230">
        <v>2039</v>
      </c>
      <c r="B89" s="231"/>
      <c r="C89" s="232"/>
      <c r="D89" s="233"/>
      <c r="E89" s="234">
        <f>SUBTOTAL(9,E86:E88)</f>
        <v>28074441.928666279</v>
      </c>
      <c r="F89" s="236">
        <f>F85+E89</f>
        <v>352050377.87900716</v>
      </c>
      <c r="G89" s="236">
        <f>'2025 Water - Phase Costs'!$R$102/5</f>
        <v>16381365.822254622</v>
      </c>
      <c r="H89" s="235">
        <f>G89+H85</f>
        <v>348649157.06559885</v>
      </c>
      <c r="I89" s="235">
        <f>F89-H89</f>
        <v>3401220.8134083152</v>
      </c>
      <c r="J89" s="235">
        <f>I89*(IF(L85&gt;0,$N$7,$N$4))</f>
        <v>79894.676906961322</v>
      </c>
      <c r="K89" s="236">
        <f>(1+(IF(L85&gt;0,$N$7,$N$4)))*K85+J89</f>
        <v>-3401220.8134081434</v>
      </c>
      <c r="L89" s="235">
        <f>I89+K89</f>
        <v>1.7182901501655579E-7</v>
      </c>
      <c r="M89" s="45"/>
    </row>
    <row r="90" spans="1:14" ht="13.5" thickTop="1" x14ac:dyDescent="0.2">
      <c r="A90" s="71"/>
      <c r="B90" s="237"/>
      <c r="C90" s="238"/>
      <c r="D90" s="137"/>
      <c r="E90" s="200"/>
      <c r="F90" s="239"/>
      <c r="G90" s="239"/>
      <c r="H90" s="239"/>
      <c r="I90" s="239"/>
      <c r="J90" s="239"/>
      <c r="K90" s="240"/>
      <c r="L90" s="240"/>
      <c r="M90" s="221"/>
    </row>
    <row r="91" spans="1:14" x14ac:dyDescent="0.2">
      <c r="A91" s="34" t="s">
        <v>248</v>
      </c>
      <c r="B91" s="241"/>
      <c r="C91" s="242"/>
      <c r="D91" s="243"/>
      <c r="E91" s="244">
        <f>SUBTOTAL(9,E8:E89)</f>
        <v>352050377.87900722</v>
      </c>
      <c r="F91" s="244"/>
      <c r="G91" s="244">
        <f>SUBTOTAL(9,G8:G89)</f>
        <v>348649157.06559885</v>
      </c>
      <c r="H91" s="244"/>
      <c r="I91" s="244"/>
      <c r="J91" s="245"/>
      <c r="K91" s="246" t="s">
        <v>325</v>
      </c>
      <c r="L91" s="240">
        <v>50006114.243038036</v>
      </c>
      <c r="M91" s="221"/>
    </row>
    <row r="92" spans="1:14" x14ac:dyDescent="0.2">
      <c r="A92" s="45"/>
      <c r="B92" s="237"/>
      <c r="C92" s="238"/>
      <c r="D92" s="137"/>
      <c r="E92" s="200"/>
      <c r="F92" s="239"/>
      <c r="G92" s="239"/>
      <c r="H92" s="239"/>
      <c r="I92" s="239"/>
      <c r="J92" s="239"/>
      <c r="M92" s="221"/>
    </row>
    <row r="93" spans="1:14" x14ac:dyDescent="0.2">
      <c r="A93" s="45"/>
      <c r="B93" s="247"/>
      <c r="C93" s="238"/>
      <c r="D93" s="248"/>
      <c r="E93" s="200"/>
      <c r="F93" s="239"/>
      <c r="G93" s="198"/>
      <c r="H93" s="239"/>
      <c r="I93" s="239"/>
      <c r="M93" s="221"/>
    </row>
    <row r="94" spans="1:14" x14ac:dyDescent="0.2">
      <c r="A94" s="45"/>
      <c r="B94" s="247"/>
      <c r="C94" s="238"/>
      <c r="D94" s="249"/>
      <c r="E94" s="221"/>
      <c r="F94" s="250"/>
      <c r="G94" s="250"/>
      <c r="H94" s="239"/>
      <c r="I94" s="239"/>
      <c r="J94" s="239"/>
      <c r="K94" s="240"/>
      <c r="L94" s="240"/>
      <c r="M94" s="221"/>
    </row>
    <row r="95" spans="1:14" x14ac:dyDescent="0.2">
      <c r="A95" s="45"/>
      <c r="B95" s="247"/>
      <c r="C95" s="238"/>
      <c r="D95" s="249"/>
      <c r="E95" s="221"/>
      <c r="F95" s="250"/>
      <c r="G95" s="250">
        <f>+F89+K89-H89</f>
        <v>0</v>
      </c>
      <c r="H95" s="250" t="s">
        <v>328</v>
      </c>
      <c r="I95" s="239"/>
      <c r="J95" s="239"/>
      <c r="K95" s="240"/>
      <c r="L95" s="240"/>
      <c r="M95" s="221"/>
    </row>
    <row r="96" spans="1:14" x14ac:dyDescent="0.2">
      <c r="A96" s="45"/>
      <c r="B96" s="237"/>
      <c r="C96" s="238"/>
      <c r="D96" s="249"/>
      <c r="E96" s="251"/>
      <c r="F96"/>
      <c r="G96" s="252"/>
      <c r="I96" s="239"/>
      <c r="N96" s="45" t="s">
        <v>326</v>
      </c>
    </row>
    <row r="97" spans="5:8" x14ac:dyDescent="0.2">
      <c r="E97" s="251"/>
      <c r="F97"/>
      <c r="G97" s="252">
        <f>+'2025 Water - Phase Costs'!R111-'Water - Financial Model'!G91</f>
        <v>2.5000572204589844E-3</v>
      </c>
      <c r="H97" s="205" t="s">
        <v>328</v>
      </c>
    </row>
    <row r="98" spans="5:8" x14ac:dyDescent="0.2">
      <c r="E98" s="253"/>
      <c r="F98"/>
      <c r="G98"/>
    </row>
  </sheetData>
  <dataConsolidate/>
  <pageMargins left="0.5" right="0.5" top="0.5" bottom="0.5" header="0" footer="0"/>
  <pageSetup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A3B4-4090-48ED-A41F-80C96D7D3642}">
  <sheetPr>
    <tabColor theme="9" tint="0.79998168889431442"/>
    <pageSetUpPr fitToPage="1"/>
  </sheetPr>
  <dimension ref="A1:R114"/>
  <sheetViews>
    <sheetView zoomScale="80" zoomScaleNormal="80" workbookViewId="0">
      <pane ySplit="6" topLeftCell="A7" activePane="bottomLeft" state="frozen"/>
      <selection sqref="A1:B1"/>
      <selection pane="bottomLeft" activeCell="A7" sqref="A7"/>
    </sheetView>
  </sheetViews>
  <sheetFormatPr defaultRowHeight="12.75" x14ac:dyDescent="0.2"/>
  <cols>
    <col min="1" max="1" width="13.5703125" bestFit="1" customWidth="1"/>
    <col min="2" max="2" width="14.28515625" customWidth="1"/>
    <col min="3" max="3" width="81.7109375" customWidth="1"/>
    <col min="4" max="4" width="8.5703125" style="80" customWidth="1"/>
    <col min="5" max="5" width="10.28515625" customWidth="1"/>
    <col min="6" max="6" width="35.28515625" customWidth="1"/>
    <col min="7" max="7" width="18.28515625" customWidth="1"/>
    <col min="8" max="8" width="19.28515625" bestFit="1" customWidth="1"/>
    <col min="9" max="9" width="19.28515625" customWidth="1"/>
    <col min="10" max="10" width="15.7109375" style="81" customWidth="1"/>
    <col min="11" max="11" width="19.7109375" bestFit="1" customWidth="1"/>
    <col min="12" max="12" width="16.7109375" bestFit="1" customWidth="1"/>
    <col min="13" max="13" width="19.28515625" bestFit="1" customWidth="1"/>
    <col min="14" max="14" width="11.28515625" bestFit="1" customWidth="1"/>
    <col min="15" max="15" width="18.7109375" bestFit="1" customWidth="1"/>
    <col min="16" max="16" width="20.7109375" style="79" customWidth="1"/>
    <col min="17" max="17" width="17.7109375" bestFit="1" customWidth="1"/>
    <col min="18" max="18" width="19.28515625" bestFit="1" customWidth="1"/>
  </cols>
  <sheetData>
    <row r="1" spans="1:18" s="6" customFormat="1" ht="23.25" x14ac:dyDescent="0.35">
      <c r="A1" s="1" t="s">
        <v>329</v>
      </c>
      <c r="B1" s="2"/>
      <c r="C1" s="3"/>
      <c r="D1" s="4"/>
      <c r="E1" s="3"/>
      <c r="F1" s="3"/>
      <c r="G1" s="5"/>
      <c r="J1" s="435" t="s">
        <v>931</v>
      </c>
      <c r="L1" s="7"/>
      <c r="M1" s="8"/>
      <c r="N1" s="8"/>
      <c r="P1" s="9"/>
    </row>
    <row r="2" spans="1:18" s="15" customFormat="1" ht="18" x14ac:dyDescent="0.25">
      <c r="A2" s="10" t="s">
        <v>330</v>
      </c>
      <c r="B2" s="11"/>
      <c r="C2" s="12"/>
      <c r="D2" s="13"/>
      <c r="E2" s="12"/>
      <c r="F2" s="14"/>
      <c r="G2" s="12"/>
      <c r="J2" s="16"/>
      <c r="L2" s="17"/>
      <c r="M2" s="18"/>
      <c r="N2" s="18"/>
      <c r="P2" s="19"/>
    </row>
    <row r="3" spans="1:18" s="15" customFormat="1" ht="18" x14ac:dyDescent="0.25">
      <c r="A3" s="10" t="s">
        <v>331</v>
      </c>
      <c r="B3" s="20"/>
      <c r="C3" s="16"/>
      <c r="D3" s="21"/>
      <c r="E3" s="16"/>
      <c r="F3" s="22"/>
      <c r="G3" s="23"/>
      <c r="J3" s="16"/>
      <c r="L3" s="17"/>
      <c r="M3" s="18"/>
      <c r="N3" s="18"/>
      <c r="P3" s="19"/>
    </row>
    <row r="4" spans="1:18" s="27" customFormat="1" ht="12.75" customHeight="1" x14ac:dyDescent="0.2">
      <c r="A4" s="24"/>
      <c r="B4" s="24"/>
      <c r="C4" s="25"/>
      <c r="D4" s="26"/>
      <c r="E4" s="25"/>
      <c r="F4" s="25"/>
      <c r="G4" s="25"/>
      <c r="J4" s="28"/>
      <c r="L4" s="29">
        <f>'Financial Assumptions'!H4</f>
        <v>2.087E-2</v>
      </c>
      <c r="M4" s="29"/>
      <c r="N4" s="29"/>
      <c r="P4" s="30">
        <f>'Population Projections'!C36</f>
        <v>0.23407892834770871</v>
      </c>
    </row>
    <row r="5" spans="1:18" s="31" customFormat="1" ht="45" customHeight="1" x14ac:dyDescent="0.25">
      <c r="D5" s="32"/>
      <c r="E5" s="33"/>
      <c r="H5" s="34" t="s">
        <v>743</v>
      </c>
      <c r="I5" s="34" t="s">
        <v>926</v>
      </c>
      <c r="J5" s="35" t="s">
        <v>744</v>
      </c>
      <c r="K5" s="36" t="s">
        <v>745</v>
      </c>
      <c r="L5" s="36" t="s">
        <v>746</v>
      </c>
      <c r="M5" s="34" t="s">
        <v>248</v>
      </c>
      <c r="N5" s="34" t="s">
        <v>335</v>
      </c>
      <c r="O5" s="34" t="s">
        <v>336</v>
      </c>
      <c r="P5" s="37" t="s">
        <v>337</v>
      </c>
      <c r="Q5" s="34" t="s">
        <v>337</v>
      </c>
      <c r="R5" s="34" t="s">
        <v>338</v>
      </c>
    </row>
    <row r="6" spans="1:18" s="38" customFormat="1" ht="37.5" customHeight="1" x14ac:dyDescent="0.2">
      <c r="A6" s="38" t="s">
        <v>168</v>
      </c>
      <c r="B6" s="39" t="s">
        <v>339</v>
      </c>
      <c r="C6" s="38" t="s">
        <v>340</v>
      </c>
      <c r="D6" s="40" t="s">
        <v>341</v>
      </c>
      <c r="E6" s="41" t="s">
        <v>748</v>
      </c>
      <c r="F6" s="38" t="s">
        <v>342</v>
      </c>
      <c r="G6" s="38" t="s">
        <v>343</v>
      </c>
      <c r="H6" s="39" t="s">
        <v>344</v>
      </c>
      <c r="I6" s="39"/>
      <c r="J6" s="42" t="s">
        <v>278</v>
      </c>
      <c r="K6" s="39" t="s">
        <v>344</v>
      </c>
      <c r="L6" s="39" t="s">
        <v>345</v>
      </c>
      <c r="M6" s="39" t="s">
        <v>346</v>
      </c>
      <c r="N6" s="39" t="s">
        <v>347</v>
      </c>
      <c r="O6" s="39" t="s">
        <v>348</v>
      </c>
      <c r="P6" s="43" t="s">
        <v>349</v>
      </c>
      <c r="Q6" s="39" t="s">
        <v>350</v>
      </c>
      <c r="R6" s="39" t="s">
        <v>344</v>
      </c>
    </row>
    <row r="7" spans="1:18" s="31" customFormat="1" x14ac:dyDescent="0.2">
      <c r="D7" s="32"/>
      <c r="P7" s="37"/>
    </row>
    <row r="8" spans="1:18" s="31" customFormat="1" x14ac:dyDescent="0.2">
      <c r="A8" s="44">
        <v>2014</v>
      </c>
      <c r="B8" s="44"/>
      <c r="C8" s="45"/>
      <c r="D8" s="46"/>
      <c r="E8" s="45"/>
      <c r="F8" s="45"/>
      <c r="G8" s="45"/>
      <c r="H8" s="47">
        <v>0</v>
      </c>
      <c r="I8" s="47"/>
      <c r="J8" s="48"/>
      <c r="K8" s="47">
        <f>H8*J8</f>
        <v>0</v>
      </c>
      <c r="L8" s="47">
        <v>0</v>
      </c>
      <c r="M8" s="47">
        <f>K8+L8</f>
        <v>0</v>
      </c>
      <c r="N8" s="49">
        <v>0</v>
      </c>
      <c r="O8" s="47">
        <f>M8*N8</f>
        <v>0</v>
      </c>
      <c r="P8" s="50"/>
      <c r="Q8" s="47">
        <f>(M8-O8)*P8</f>
        <v>0</v>
      </c>
      <c r="R8" s="47">
        <f>M8-O8-Q8</f>
        <v>0</v>
      </c>
    </row>
    <row r="9" spans="1:18" s="31" customFormat="1" x14ac:dyDescent="0.2">
      <c r="A9" s="51">
        <v>2014</v>
      </c>
      <c r="B9" s="51"/>
      <c r="D9" s="32"/>
      <c r="G9" s="32" t="s">
        <v>351</v>
      </c>
      <c r="H9" s="52">
        <f>SUBTOTAL(9,H8:H8)</f>
        <v>0</v>
      </c>
      <c r="I9" s="52"/>
      <c r="J9" s="52"/>
      <c r="K9" s="52">
        <f>SUBTOTAL(9,K8:K8)</f>
        <v>0</v>
      </c>
      <c r="L9" s="52">
        <f>SUBTOTAL(9,L8:L8)</f>
        <v>0</v>
      </c>
      <c r="M9" s="52">
        <f>SUBTOTAL(9,M8:M8)</f>
        <v>0</v>
      </c>
      <c r="N9" s="52"/>
      <c r="O9" s="52">
        <f>SUBTOTAL(9,O8:O8)</f>
        <v>0</v>
      </c>
      <c r="P9" s="53"/>
      <c r="Q9" s="52">
        <f>SUBTOTAL(9,Q8:Q8)</f>
        <v>0</v>
      </c>
      <c r="R9" s="52">
        <f>SUBTOTAL(9,R8:R8)</f>
        <v>0</v>
      </c>
    </row>
    <row r="10" spans="1:18" s="31" customFormat="1" x14ac:dyDescent="0.2">
      <c r="A10" s="44">
        <v>2015</v>
      </c>
      <c r="B10" s="44"/>
      <c r="C10" s="45"/>
      <c r="D10" s="46"/>
      <c r="E10" s="45"/>
      <c r="F10" s="45"/>
      <c r="G10" s="45"/>
      <c r="H10" s="47"/>
      <c r="I10" s="47"/>
      <c r="J10" s="48"/>
      <c r="K10" s="47"/>
      <c r="L10" s="47"/>
      <c r="M10" s="47"/>
      <c r="N10" s="49"/>
      <c r="O10" s="47"/>
      <c r="P10" s="50"/>
      <c r="Q10" s="47"/>
      <c r="R10" s="47"/>
    </row>
    <row r="11" spans="1:18" s="31" customFormat="1" x14ac:dyDescent="0.2">
      <c r="A11" s="51">
        <v>2015</v>
      </c>
      <c r="B11" s="51"/>
      <c r="D11" s="32"/>
      <c r="G11" s="32" t="s">
        <v>351</v>
      </c>
      <c r="H11" s="52">
        <f t="shared" ref="H11" si="0">SUBTOTAL(9,H10:H10)</f>
        <v>0</v>
      </c>
      <c r="I11" s="52"/>
      <c r="J11" s="52"/>
      <c r="K11" s="52">
        <f t="shared" ref="K11:R11" si="1">SUBTOTAL(9,K10:K10)</f>
        <v>0</v>
      </c>
      <c r="L11" s="52">
        <f t="shared" si="1"/>
        <v>0</v>
      </c>
      <c r="M11" s="52">
        <f t="shared" si="1"/>
        <v>0</v>
      </c>
      <c r="N11" s="52"/>
      <c r="O11" s="52">
        <f t="shared" si="1"/>
        <v>0</v>
      </c>
      <c r="P11" s="53"/>
      <c r="Q11" s="52">
        <f t="shared" si="1"/>
        <v>0</v>
      </c>
      <c r="R11" s="52">
        <f t="shared" si="1"/>
        <v>0</v>
      </c>
    </row>
    <row r="12" spans="1:18" s="31" customFormat="1" x14ac:dyDescent="0.2">
      <c r="A12" s="44">
        <v>2018</v>
      </c>
      <c r="B12" s="44"/>
      <c r="C12" s="45"/>
      <c r="D12" s="46"/>
      <c r="E12" s="45"/>
      <c r="F12" s="45"/>
      <c r="G12" s="45"/>
      <c r="H12" s="47"/>
      <c r="I12" s="47"/>
      <c r="J12" s="48"/>
      <c r="K12" s="47"/>
      <c r="L12" s="47"/>
      <c r="M12" s="47"/>
      <c r="N12" s="49"/>
      <c r="O12" s="47"/>
      <c r="P12" s="50"/>
      <c r="Q12" s="47"/>
      <c r="R12" s="47"/>
    </row>
    <row r="13" spans="1:18" s="31" customFormat="1" x14ac:dyDescent="0.2">
      <c r="A13" s="51">
        <v>2018</v>
      </c>
      <c r="B13" s="51"/>
      <c r="D13" s="32"/>
      <c r="G13" s="32" t="s">
        <v>351</v>
      </c>
      <c r="H13" s="52">
        <f t="shared" ref="H13" si="2">SUBTOTAL(9,H12:H12)</f>
        <v>0</v>
      </c>
      <c r="I13" s="52"/>
      <c r="J13" s="52"/>
      <c r="K13" s="52">
        <f t="shared" ref="K13:Q13" si="3">SUBTOTAL(9,K12:K12)</f>
        <v>0</v>
      </c>
      <c r="L13" s="52">
        <f t="shared" si="3"/>
        <v>0</v>
      </c>
      <c r="M13" s="52">
        <f t="shared" si="3"/>
        <v>0</v>
      </c>
      <c r="N13" s="52"/>
      <c r="O13" s="52">
        <f t="shared" si="3"/>
        <v>0</v>
      </c>
      <c r="P13" s="53"/>
      <c r="Q13" s="52">
        <f t="shared" si="3"/>
        <v>0</v>
      </c>
      <c r="R13" s="52">
        <f>SUBTOTAL(9,R12:R12)</f>
        <v>0</v>
      </c>
    </row>
    <row r="14" spans="1:18" s="31" customFormat="1" x14ac:dyDescent="0.2">
      <c r="A14" s="44">
        <v>2019</v>
      </c>
      <c r="B14" s="44" t="s">
        <v>352</v>
      </c>
      <c r="C14" s="45" t="s">
        <v>353</v>
      </c>
      <c r="D14" s="54" t="s">
        <v>354</v>
      </c>
      <c r="E14" s="55" t="s">
        <v>742</v>
      </c>
      <c r="F14" t="s">
        <v>355</v>
      </c>
      <c r="G14" s="45" t="s">
        <v>356</v>
      </c>
      <c r="H14" s="47"/>
      <c r="I14" s="47"/>
      <c r="J14" s="48"/>
      <c r="K14" s="47"/>
      <c r="L14" s="47"/>
      <c r="M14" s="56">
        <v>786137.96</v>
      </c>
      <c r="N14" s="49">
        <v>1</v>
      </c>
      <c r="O14" s="47">
        <f>M14*N14</f>
        <v>786137.96</v>
      </c>
      <c r="P14" s="50"/>
      <c r="Q14" s="47">
        <f>(M14-O14)*P14</f>
        <v>0</v>
      </c>
      <c r="R14" s="47">
        <f>M14-O14-Q14</f>
        <v>0</v>
      </c>
    </row>
    <row r="15" spans="1:18" s="58" customFormat="1" ht="15" x14ac:dyDescent="0.25">
      <c r="A15" s="57">
        <v>2019</v>
      </c>
      <c r="B15" s="57"/>
      <c r="D15" s="59"/>
      <c r="G15" s="59" t="s">
        <v>351</v>
      </c>
      <c r="H15" s="60">
        <f>SUBTOTAL(9,H14:H14)</f>
        <v>0</v>
      </c>
      <c r="I15" s="60"/>
      <c r="J15" s="60"/>
      <c r="K15" s="60"/>
      <c r="L15" s="60"/>
      <c r="M15" s="60">
        <f>SUBTOTAL(9,M14:M14)</f>
        <v>786137.96</v>
      </c>
      <c r="N15" s="60"/>
      <c r="O15" s="60">
        <f>SUBTOTAL(9,O14:O14)</f>
        <v>786137.96</v>
      </c>
      <c r="P15" s="61"/>
      <c r="Q15" s="60">
        <f>SUBTOTAL(9,Q14:Q14)</f>
        <v>0</v>
      </c>
      <c r="R15" s="60">
        <f>SUBTOTAL(9,R14:R14)</f>
        <v>0</v>
      </c>
    </row>
    <row r="16" spans="1:18" s="31" customFormat="1" x14ac:dyDescent="0.2">
      <c r="A16" s="44">
        <v>2020</v>
      </c>
      <c r="B16" s="44" t="s">
        <v>357</v>
      </c>
      <c r="C16" s="45" t="s">
        <v>358</v>
      </c>
      <c r="D16" s="62" t="s">
        <v>750</v>
      </c>
      <c r="E16" s="55" t="s">
        <v>742</v>
      </c>
      <c r="F16" s="45" t="s">
        <v>359</v>
      </c>
      <c r="G16" s="45" t="s">
        <v>360</v>
      </c>
      <c r="H16" s="47"/>
      <c r="I16" s="47"/>
      <c r="J16" s="48"/>
      <c r="K16" s="47"/>
      <c r="L16" s="47"/>
      <c r="M16" s="47">
        <v>477717.61</v>
      </c>
      <c r="N16" s="49">
        <v>1</v>
      </c>
      <c r="O16" s="47">
        <f>M16*N16</f>
        <v>477717.61</v>
      </c>
      <c r="P16" s="50"/>
      <c r="Q16" s="47">
        <f>(M16-O16)*P16</f>
        <v>0</v>
      </c>
      <c r="R16" s="47">
        <f>M16-O16-Q16</f>
        <v>0</v>
      </c>
    </row>
    <row r="17" spans="1:18" s="58" customFormat="1" ht="15" x14ac:dyDescent="0.25">
      <c r="A17" s="57">
        <v>2020</v>
      </c>
      <c r="B17" s="57"/>
      <c r="D17" s="59"/>
      <c r="G17" s="59" t="s">
        <v>351</v>
      </c>
      <c r="H17" s="60">
        <f>SUBTOTAL(9,H16:H16)</f>
        <v>0</v>
      </c>
      <c r="I17" s="60"/>
      <c r="J17" s="60"/>
      <c r="K17" s="60"/>
      <c r="L17" s="60"/>
      <c r="M17" s="60">
        <f>SUBTOTAL(9,M16:M16)</f>
        <v>477717.61</v>
      </c>
      <c r="N17" s="60"/>
      <c r="O17" s="60">
        <f>SUBTOTAL(9,O16:O16)</f>
        <v>477717.61</v>
      </c>
      <c r="P17" s="61"/>
      <c r="Q17" s="60">
        <f>SUBTOTAL(9,Q16:Q16)</f>
        <v>0</v>
      </c>
      <c r="R17" s="60">
        <f>SUBTOTAL(9,R16:R16)</f>
        <v>0</v>
      </c>
    </row>
    <row r="18" spans="1:18" s="31" customFormat="1" x14ac:dyDescent="0.2">
      <c r="A18" s="44">
        <v>2021</v>
      </c>
      <c r="B18" s="44" t="s">
        <v>751</v>
      </c>
      <c r="C18" s="45" t="s">
        <v>361</v>
      </c>
      <c r="D18" s="54">
        <v>3553</v>
      </c>
      <c r="E18" s="55" t="s">
        <v>742</v>
      </c>
      <c r="F18" t="s">
        <v>362</v>
      </c>
      <c r="G18" s="45" t="s">
        <v>363</v>
      </c>
      <c r="H18" s="47"/>
      <c r="I18" s="47"/>
      <c r="J18" s="48"/>
      <c r="K18" s="47"/>
      <c r="L18" s="47"/>
      <c r="M18" s="56">
        <v>876233.87</v>
      </c>
      <c r="N18" s="49">
        <v>0.25</v>
      </c>
      <c r="O18" s="47">
        <f>M18*N18</f>
        <v>219058.4675</v>
      </c>
      <c r="P18" s="50"/>
      <c r="Q18" s="47">
        <f>(M18-O18)*P18</f>
        <v>0</v>
      </c>
      <c r="R18" s="47">
        <f>M18-O18</f>
        <v>657175.40249999997</v>
      </c>
    </row>
    <row r="19" spans="1:18" s="31" customFormat="1" x14ac:dyDescent="0.2">
      <c r="A19" s="44">
        <v>2021</v>
      </c>
      <c r="B19" s="44" t="s">
        <v>364</v>
      </c>
      <c r="C19" s="45" t="s">
        <v>365</v>
      </c>
      <c r="D19" s="54" t="s">
        <v>354</v>
      </c>
      <c r="E19" s="55" t="s">
        <v>742</v>
      </c>
      <c r="F19" t="s">
        <v>366</v>
      </c>
      <c r="G19" s="45" t="s">
        <v>360</v>
      </c>
      <c r="H19" s="47"/>
      <c r="I19" s="47"/>
      <c r="J19" s="48"/>
      <c r="K19" s="47"/>
      <c r="L19" s="47"/>
      <c r="M19" s="47">
        <v>2120873.2000000002</v>
      </c>
      <c r="N19" s="49">
        <v>0</v>
      </c>
      <c r="O19" s="47">
        <f>M19*N19</f>
        <v>0</v>
      </c>
      <c r="P19" s="50"/>
      <c r="Q19" s="47">
        <f>(M19-O19)*P19</f>
        <v>0</v>
      </c>
      <c r="R19" s="47">
        <f>M19-O19</f>
        <v>2120873.2000000002</v>
      </c>
    </row>
    <row r="20" spans="1:18" s="31" customFormat="1" x14ac:dyDescent="0.2">
      <c r="A20" s="44">
        <v>2021</v>
      </c>
      <c r="B20" s="44" t="s">
        <v>367</v>
      </c>
      <c r="C20" s="45" t="s">
        <v>368</v>
      </c>
      <c r="D20" s="54">
        <v>3566</v>
      </c>
      <c r="E20" s="55" t="s">
        <v>742</v>
      </c>
      <c r="F20" s="45" t="s">
        <v>369</v>
      </c>
      <c r="G20" s="45" t="s">
        <v>370</v>
      </c>
      <c r="H20" s="47"/>
      <c r="I20" s="47"/>
      <c r="J20" s="48"/>
      <c r="K20" s="47"/>
      <c r="L20" s="47"/>
      <c r="M20" s="47">
        <f>O20+R20</f>
        <v>2084523.63</v>
      </c>
      <c r="N20" s="49">
        <v>0.95240000000000002</v>
      </c>
      <c r="O20" s="47">
        <f>R20/0.05</f>
        <v>1985260.5999999999</v>
      </c>
      <c r="P20" s="50"/>
      <c r="Q20" s="47">
        <f>(M20-O20)*P20</f>
        <v>0</v>
      </c>
      <c r="R20" s="47">
        <v>99263.03</v>
      </c>
    </row>
    <row r="21" spans="1:18" s="31" customFormat="1" x14ac:dyDescent="0.2">
      <c r="A21" s="44">
        <v>2021</v>
      </c>
      <c r="B21" s="44" t="s">
        <v>371</v>
      </c>
      <c r="C21" s="45" t="s">
        <v>372</v>
      </c>
      <c r="D21" s="54">
        <v>3568</v>
      </c>
      <c r="E21" s="55" t="s">
        <v>742</v>
      </c>
      <c r="F21" s="55" t="s">
        <v>373</v>
      </c>
      <c r="G21" s="45" t="s">
        <v>370</v>
      </c>
      <c r="H21" s="47"/>
      <c r="I21" s="47"/>
      <c r="J21" s="48"/>
      <c r="K21" s="47"/>
      <c r="L21" s="47"/>
      <c r="M21" s="47">
        <v>192737.99</v>
      </c>
      <c r="N21" s="49">
        <v>1</v>
      </c>
      <c r="O21" s="47">
        <f>M21*N21</f>
        <v>192737.99</v>
      </c>
      <c r="P21" s="50"/>
      <c r="Q21" s="47">
        <f>(M21-O21)*P21</f>
        <v>0</v>
      </c>
      <c r="R21" s="47">
        <f>M21-O21-Q21</f>
        <v>0</v>
      </c>
    </row>
    <row r="22" spans="1:18" s="31" customFormat="1" x14ac:dyDescent="0.2">
      <c r="A22" s="44">
        <v>2021</v>
      </c>
      <c r="B22" s="44" t="s">
        <v>752</v>
      </c>
      <c r="C22" s="45" t="s">
        <v>374</v>
      </c>
      <c r="D22" s="54">
        <v>3553</v>
      </c>
      <c r="E22" s="55" t="s">
        <v>742</v>
      </c>
      <c r="F22" t="s">
        <v>375</v>
      </c>
      <c r="G22" s="45" t="s">
        <v>363</v>
      </c>
      <c r="H22" s="47"/>
      <c r="I22" s="47"/>
      <c r="J22" s="48"/>
      <c r="K22" s="47"/>
      <c r="L22" s="47"/>
      <c r="M22" s="56">
        <v>1136270</v>
      </c>
      <c r="N22" s="49">
        <v>0.25</v>
      </c>
      <c r="O22" s="47">
        <f>M22*N22</f>
        <v>284067.5</v>
      </c>
      <c r="P22" s="50"/>
      <c r="Q22" s="47">
        <f>(M22-O22)*P22</f>
        <v>0</v>
      </c>
      <c r="R22" s="47">
        <v>852428.45</v>
      </c>
    </row>
    <row r="23" spans="1:18" s="58" customFormat="1" ht="15" x14ac:dyDescent="0.25">
      <c r="A23" s="57">
        <v>2021</v>
      </c>
      <c r="B23" s="57"/>
      <c r="C23" s="57"/>
      <c r="D23" s="59"/>
      <c r="G23" s="59" t="s">
        <v>351</v>
      </c>
      <c r="H23" s="60">
        <f>SUBTOTAL(9,H18:H21)</f>
        <v>0</v>
      </c>
      <c r="I23" s="60"/>
      <c r="J23" s="60"/>
      <c r="K23" s="60"/>
      <c r="L23" s="60"/>
      <c r="M23" s="60">
        <f>SUBTOTAL(9,M18:M22)</f>
        <v>6410638.6900000004</v>
      </c>
      <c r="N23" s="60"/>
      <c r="O23" s="60">
        <f>SUBTOTAL(9,O18:O22)</f>
        <v>2681124.5575000001</v>
      </c>
      <c r="P23" s="61"/>
      <c r="Q23" s="60">
        <f>SUBTOTAL(9,Q18:Q22)</f>
        <v>0</v>
      </c>
      <c r="R23" s="60">
        <f>SUBTOTAL(9,R18:R22)</f>
        <v>3729740.0824999996</v>
      </c>
    </row>
    <row r="24" spans="1:18" s="31" customFormat="1" x14ac:dyDescent="0.2">
      <c r="A24" s="44">
        <v>2022</v>
      </c>
      <c r="B24" s="178" t="s">
        <v>753</v>
      </c>
      <c r="C24" s="66" t="s">
        <v>376</v>
      </c>
      <c r="D24" s="54">
        <v>3553</v>
      </c>
      <c r="E24" s="55" t="s">
        <v>742</v>
      </c>
      <c r="F24" s="66" t="s">
        <v>754</v>
      </c>
      <c r="G24" s="66"/>
      <c r="H24" s="47"/>
      <c r="I24" s="47"/>
      <c r="J24" s="48"/>
      <c r="K24" s="47"/>
      <c r="L24" s="47"/>
      <c r="M24" s="47">
        <f>R24/0.75</f>
        <v>2228378.84</v>
      </c>
      <c r="N24" s="49">
        <v>0.25</v>
      </c>
      <c r="O24" s="47">
        <f>M24*N24</f>
        <v>557094.71</v>
      </c>
      <c r="P24" s="50"/>
      <c r="Q24" s="47">
        <v>0</v>
      </c>
      <c r="R24" s="47">
        <v>1671284.13</v>
      </c>
    </row>
    <row r="25" spans="1:18" s="31" customFormat="1" x14ac:dyDescent="0.2">
      <c r="A25" s="44">
        <v>2022</v>
      </c>
      <c r="B25" s="65" t="s">
        <v>438</v>
      </c>
      <c r="C25" s="66" t="s">
        <v>380</v>
      </c>
      <c r="D25" s="54" t="s">
        <v>440</v>
      </c>
      <c r="E25" s="55" t="s">
        <v>742</v>
      </c>
      <c r="F25" s="67" t="s">
        <v>755</v>
      </c>
      <c r="G25" s="66"/>
      <c r="H25" s="47"/>
      <c r="I25" s="47"/>
      <c r="J25" s="48"/>
      <c r="K25" s="47"/>
      <c r="L25" s="47"/>
      <c r="M25" s="47">
        <f>R25/(1-N25)</f>
        <v>1818907.5609358617</v>
      </c>
      <c r="N25" s="49">
        <v>0.52962905956595296</v>
      </c>
      <c r="O25" s="47">
        <f>M25*N25</f>
        <v>963346.30093586165</v>
      </c>
      <c r="P25" s="53"/>
      <c r="Q25" s="47">
        <v>0</v>
      </c>
      <c r="R25" s="47">
        <v>855561.26</v>
      </c>
    </row>
    <row r="26" spans="1:18" s="58" customFormat="1" ht="15" x14ac:dyDescent="0.25">
      <c r="A26" s="57">
        <v>2022</v>
      </c>
      <c r="B26" s="57"/>
      <c r="D26" s="59"/>
      <c r="G26" s="59" t="s">
        <v>351</v>
      </c>
      <c r="H26" s="60">
        <f>SUBTOTAL(9,H24:H25)</f>
        <v>0</v>
      </c>
      <c r="I26" s="60"/>
      <c r="J26" s="60"/>
      <c r="K26" s="60">
        <f>SUBTOTAL(9,K24:K25)</f>
        <v>0</v>
      </c>
      <c r="L26" s="60">
        <f>SUBTOTAL(9,L24:L25)</f>
        <v>0</v>
      </c>
      <c r="M26" s="60">
        <f>SUBTOTAL(9,M24:M25)</f>
        <v>4047286.4009358613</v>
      </c>
      <c r="N26" s="60"/>
      <c r="O26" s="60">
        <f>SUBTOTAL(9,O24:O25)</f>
        <v>1520441.0109358616</v>
      </c>
      <c r="P26" s="61"/>
      <c r="Q26" s="60">
        <f>SUBTOTAL(9,Q24:Q25)</f>
        <v>0</v>
      </c>
      <c r="R26" s="60">
        <f>SUBTOTAL(9,R24:R25)</f>
        <v>2526845.3899999997</v>
      </c>
    </row>
    <row r="27" spans="1:18" s="31" customFormat="1" x14ac:dyDescent="0.2">
      <c r="A27" s="44">
        <v>2023</v>
      </c>
      <c r="B27" s="44" t="s">
        <v>381</v>
      </c>
      <c r="C27" s="45" t="s">
        <v>382</v>
      </c>
      <c r="D27" s="68" t="s">
        <v>383</v>
      </c>
      <c r="E27" s="67" t="s">
        <v>742</v>
      </c>
      <c r="F27" s="69" t="s">
        <v>384</v>
      </c>
      <c r="G27" s="32"/>
      <c r="H27" s="52"/>
      <c r="I27" s="52"/>
      <c r="J27" s="52"/>
      <c r="K27" s="52"/>
      <c r="L27" s="52"/>
      <c r="M27" s="47">
        <f>R27/(1-N27)</f>
        <v>5168697.7253401354</v>
      </c>
      <c r="N27" s="49">
        <v>0.52959999999999996</v>
      </c>
      <c r="O27" s="47">
        <f>M27*N27</f>
        <v>2737342.3153401357</v>
      </c>
      <c r="P27" s="53"/>
      <c r="Q27" s="47">
        <v>0</v>
      </c>
      <c r="R27" s="47">
        <f>2430115.32+1240.09</f>
        <v>2431355.4099999997</v>
      </c>
    </row>
    <row r="28" spans="1:18" s="31" customFormat="1" x14ac:dyDescent="0.2">
      <c r="A28" s="44">
        <v>2023</v>
      </c>
      <c r="B28" s="44" t="s">
        <v>756</v>
      </c>
      <c r="C28" s="45" t="s">
        <v>385</v>
      </c>
      <c r="D28" s="54">
        <v>3.5489999999999999</v>
      </c>
      <c r="E28" s="45" t="s">
        <v>742</v>
      </c>
      <c r="F28" s="69" t="s">
        <v>757</v>
      </c>
      <c r="G28" s="32"/>
      <c r="H28" s="52"/>
      <c r="I28" s="52"/>
      <c r="J28" s="52"/>
      <c r="K28" s="52"/>
      <c r="L28" s="52"/>
      <c r="M28" s="47">
        <v>9010586</v>
      </c>
      <c r="N28" s="49">
        <v>0.26179999999999998</v>
      </c>
      <c r="O28" s="47">
        <f>M28*N28</f>
        <v>2358971.4147999999</v>
      </c>
      <c r="P28" s="70"/>
      <c r="Q28" s="47">
        <v>0</v>
      </c>
      <c r="R28" s="47">
        <v>6651253.0700000003</v>
      </c>
    </row>
    <row r="29" spans="1:18" s="31" customFormat="1" x14ac:dyDescent="0.2">
      <c r="A29" s="44">
        <v>2023</v>
      </c>
      <c r="B29" s="44" t="s">
        <v>758</v>
      </c>
      <c r="C29" s="45" t="s">
        <v>386</v>
      </c>
      <c r="D29" s="54">
        <v>3553</v>
      </c>
      <c r="E29" s="55" t="s">
        <v>742</v>
      </c>
      <c r="F29" s="69" t="s">
        <v>759</v>
      </c>
      <c r="G29" s="32"/>
      <c r="H29" s="52"/>
      <c r="I29" s="52"/>
      <c r="J29" s="52"/>
      <c r="K29" s="52"/>
      <c r="L29" s="52"/>
      <c r="M29" s="47">
        <v>679021</v>
      </c>
      <c r="N29" s="49">
        <v>0.28160000000000002</v>
      </c>
      <c r="O29" s="47">
        <f>M29*N29</f>
        <v>191212.31360000002</v>
      </c>
      <c r="P29" s="70"/>
      <c r="Q29" s="47">
        <v>0</v>
      </c>
      <c r="R29" s="47">
        <f>487717.4+102.98</f>
        <v>487820.38</v>
      </c>
    </row>
    <row r="30" spans="1:18" s="31" customFormat="1" x14ac:dyDescent="0.2">
      <c r="A30" s="44">
        <v>2023</v>
      </c>
      <c r="B30" s="44" t="s">
        <v>760</v>
      </c>
      <c r="C30" s="45" t="s">
        <v>761</v>
      </c>
      <c r="D30" s="54">
        <v>4.1689999999999996</v>
      </c>
      <c r="E30" s="45" t="s">
        <v>742</v>
      </c>
      <c r="F30" s="69" t="s">
        <v>387</v>
      </c>
      <c r="G30" s="32"/>
      <c r="H30" s="52"/>
      <c r="I30" s="52"/>
      <c r="J30" s="52"/>
      <c r="K30" s="52"/>
      <c r="L30" s="52"/>
      <c r="M30" s="47">
        <v>18696.849999999999</v>
      </c>
      <c r="N30" s="49">
        <v>0.5</v>
      </c>
      <c r="O30" s="47">
        <f>M30*N30</f>
        <v>9348.4249999999993</v>
      </c>
      <c r="P30" s="53"/>
      <c r="Q30" s="47">
        <v>0</v>
      </c>
      <c r="R30" s="47">
        <v>9348.43</v>
      </c>
    </row>
    <row r="31" spans="1:18" s="58" customFormat="1" ht="15" x14ac:dyDescent="0.25">
      <c r="A31" s="57">
        <v>2023</v>
      </c>
      <c r="B31" s="57"/>
      <c r="D31" s="59"/>
      <c r="G31" s="59" t="s">
        <v>351</v>
      </c>
      <c r="H31" s="60">
        <f>SUBTOTAL(9,H27:H30)</f>
        <v>0</v>
      </c>
      <c r="I31" s="60"/>
      <c r="J31" s="60"/>
      <c r="K31" s="60">
        <f>SUBTOTAL(9,K27:K30)</f>
        <v>0</v>
      </c>
      <c r="L31" s="60">
        <f>SUBTOTAL(9,L27:L30)</f>
        <v>0</v>
      </c>
      <c r="M31" s="60">
        <f>SUBTOTAL(9,M27:M30)</f>
        <v>14877001.575340135</v>
      </c>
      <c r="N31" s="60"/>
      <c r="O31" s="60">
        <f>SUBTOTAL(9,O27:O30)</f>
        <v>5296874.4687401354</v>
      </c>
      <c r="P31" s="61"/>
      <c r="Q31" s="60">
        <f>SUBTOTAL(9,Q27:Q30)</f>
        <v>0</v>
      </c>
      <c r="R31" s="60">
        <f>SUBTOTAL(9,R27:R30)</f>
        <v>9579777.290000001</v>
      </c>
    </row>
    <row r="32" spans="1:18" s="31" customFormat="1" x14ac:dyDescent="0.2">
      <c r="A32" s="44">
        <v>2024</v>
      </c>
      <c r="B32" s="44" t="s">
        <v>403</v>
      </c>
      <c r="C32" s="45" t="s">
        <v>762</v>
      </c>
      <c r="D32" s="68" t="s">
        <v>404</v>
      </c>
      <c r="E32" s="67" t="s">
        <v>742</v>
      </c>
      <c r="F32" s="69" t="s">
        <v>763</v>
      </c>
      <c r="G32" s="32"/>
      <c r="H32" s="52"/>
      <c r="I32" s="52"/>
      <c r="J32" s="52"/>
      <c r="K32" s="52"/>
      <c r="L32" s="52"/>
      <c r="M32" s="47">
        <v>275000</v>
      </c>
      <c r="N32" s="49">
        <f>1-0.5</f>
        <v>0.5</v>
      </c>
      <c r="O32" s="47">
        <f>M32*N32</f>
        <v>137500</v>
      </c>
      <c r="P32" s="53"/>
      <c r="Q32" s="47">
        <v>0</v>
      </c>
      <c r="R32" s="47">
        <v>137500</v>
      </c>
    </row>
    <row r="33" spans="1:18" s="31" customFormat="1" x14ac:dyDescent="0.2">
      <c r="A33" s="44">
        <v>2024</v>
      </c>
      <c r="B33" s="44" t="s">
        <v>764</v>
      </c>
      <c r="C33" s="45" t="s">
        <v>388</v>
      </c>
      <c r="D33" s="54" t="s">
        <v>765</v>
      </c>
      <c r="E33" s="45" t="s">
        <v>742</v>
      </c>
      <c r="F33" s="55" t="s">
        <v>766</v>
      </c>
      <c r="G33" s="32"/>
      <c r="H33" s="52"/>
      <c r="I33" s="52"/>
      <c r="J33" s="52"/>
      <c r="K33" s="52"/>
      <c r="L33" s="52"/>
      <c r="M33" s="47">
        <v>2723000</v>
      </c>
      <c r="N33" s="49">
        <f>1-0.75</f>
        <v>0.25</v>
      </c>
      <c r="O33" s="47">
        <f>M33*N33</f>
        <v>680750</v>
      </c>
      <c r="P33" s="70"/>
      <c r="Q33" s="47">
        <v>0</v>
      </c>
      <c r="R33" s="47">
        <v>1665231</v>
      </c>
    </row>
    <row r="34" spans="1:18" s="31" customFormat="1" x14ac:dyDescent="0.2">
      <c r="A34" s="44">
        <v>2024</v>
      </c>
      <c r="B34" s="44"/>
      <c r="C34" s="293"/>
      <c r="D34" s="54"/>
      <c r="E34" s="55"/>
      <c r="F34" s="69"/>
      <c r="G34" s="32"/>
      <c r="H34" s="52"/>
      <c r="I34" s="52"/>
      <c r="J34" s="52"/>
      <c r="K34" s="52"/>
      <c r="L34" s="52"/>
      <c r="M34" s="47"/>
      <c r="N34" s="49"/>
      <c r="O34" s="47"/>
      <c r="P34" s="70"/>
      <c r="Q34" s="52"/>
      <c r="R34" s="47"/>
    </row>
    <row r="35" spans="1:18" s="58" customFormat="1" ht="15" x14ac:dyDescent="0.25">
      <c r="A35" s="57">
        <v>2024</v>
      </c>
      <c r="B35" s="57"/>
      <c r="D35" s="59"/>
      <c r="G35" s="59" t="s">
        <v>351</v>
      </c>
      <c r="H35" s="60">
        <f>SUBTOTAL(9,H32:H34)</f>
        <v>0</v>
      </c>
      <c r="I35" s="60"/>
      <c r="J35" s="60"/>
      <c r="K35" s="60">
        <f>SUBTOTAL(9,K32:K34)</f>
        <v>0</v>
      </c>
      <c r="L35" s="60">
        <f>SUBTOTAL(9,L32:L34)</f>
        <v>0</v>
      </c>
      <c r="M35" s="60">
        <f>SUBTOTAL(9,M32:M34)</f>
        <v>2998000</v>
      </c>
      <c r="N35" s="60"/>
      <c r="O35" s="60">
        <f>SUBTOTAL(9,O32:O34)</f>
        <v>818250</v>
      </c>
      <c r="P35" s="61"/>
      <c r="Q35" s="60">
        <f>SUBTOTAL(9,Q32:Q34)</f>
        <v>0</v>
      </c>
      <c r="R35" s="60">
        <f>SUBTOTAL(9,R32:R34)</f>
        <v>1802731</v>
      </c>
    </row>
    <row r="36" spans="1:18" s="31" customFormat="1" x14ac:dyDescent="0.2">
      <c r="A36" s="44" t="s">
        <v>280</v>
      </c>
      <c r="B36" s="44" t="s">
        <v>377</v>
      </c>
      <c r="C36" s="45" t="s">
        <v>378</v>
      </c>
      <c r="D36" s="54">
        <v>3574</v>
      </c>
      <c r="E36" s="55" t="s">
        <v>742</v>
      </c>
      <c r="F36" s="45" t="s">
        <v>379</v>
      </c>
      <c r="G36" s="45" t="s">
        <v>360</v>
      </c>
      <c r="H36" s="47"/>
      <c r="I36" s="47"/>
      <c r="J36" s="48"/>
      <c r="K36" s="47"/>
      <c r="L36" s="47"/>
      <c r="M36" s="47">
        <v>1476461.04</v>
      </c>
      <c r="N36" s="49">
        <v>0.25</v>
      </c>
      <c r="O36" s="47">
        <f t="shared" ref="O36:O53" si="4">M36*N36</f>
        <v>369115.26</v>
      </c>
      <c r="P36" s="50">
        <f t="shared" ref="P36:P51" si="5">$P$4</f>
        <v>0.23407892834770871</v>
      </c>
      <c r="Q36" s="47">
        <f t="shared" ref="Q36:Q53" si="6">(M36-O36)*P36</f>
        <v>259206.31349275762</v>
      </c>
      <c r="R36" s="47">
        <f t="shared" ref="R36:R53" si="7">M36-O36-Q36</f>
        <v>848139.46650724241</v>
      </c>
    </row>
    <row r="37" spans="1:18" s="31" customFormat="1" x14ac:dyDescent="0.2">
      <c r="A37" s="44" t="s">
        <v>280</v>
      </c>
      <c r="B37" s="44" t="s">
        <v>422</v>
      </c>
      <c r="C37" s="45" t="s">
        <v>423</v>
      </c>
      <c r="D37" s="54" t="s">
        <v>354</v>
      </c>
      <c r="E37" s="55" t="s">
        <v>742</v>
      </c>
      <c r="F37" s="45" t="s">
        <v>424</v>
      </c>
      <c r="G37" s="45" t="s">
        <v>405</v>
      </c>
      <c r="H37" s="47"/>
      <c r="I37" s="47"/>
      <c r="J37" s="48"/>
      <c r="K37" s="47"/>
      <c r="L37" s="47"/>
      <c r="M37" s="47">
        <v>42077.18</v>
      </c>
      <c r="N37" s="49">
        <v>0.5</v>
      </c>
      <c r="O37" s="47">
        <f t="shared" si="4"/>
        <v>21038.59</v>
      </c>
      <c r="P37" s="50">
        <f t="shared" si="5"/>
        <v>0.23407892834770871</v>
      </c>
      <c r="Q37" s="47">
        <f t="shared" si="6"/>
        <v>4924.6906011468209</v>
      </c>
      <c r="R37" s="47">
        <f t="shared" si="7"/>
        <v>16113.89939885318</v>
      </c>
    </row>
    <row r="38" spans="1:18" s="31" customFormat="1" x14ac:dyDescent="0.2">
      <c r="A38" s="44" t="s">
        <v>280</v>
      </c>
      <c r="B38" s="44" t="s">
        <v>406</v>
      </c>
      <c r="C38" s="45" t="s">
        <v>407</v>
      </c>
      <c r="D38" s="54" t="s">
        <v>354</v>
      </c>
      <c r="E38" s="55" t="s">
        <v>742</v>
      </c>
      <c r="F38" s="45" t="s">
        <v>767</v>
      </c>
      <c r="G38" s="45" t="s">
        <v>405</v>
      </c>
      <c r="H38" s="47"/>
      <c r="I38" s="47"/>
      <c r="J38" s="48"/>
      <c r="K38" s="47"/>
      <c r="L38" s="47"/>
      <c r="M38" s="47">
        <v>1306.7</v>
      </c>
      <c r="N38" s="49">
        <v>0.5</v>
      </c>
      <c r="O38" s="47">
        <f t="shared" si="4"/>
        <v>653.35</v>
      </c>
      <c r="P38" s="50">
        <f>$P$4</f>
        <v>0.23407892834770871</v>
      </c>
      <c r="Q38" s="47">
        <f t="shared" si="6"/>
        <v>152.93546783597549</v>
      </c>
      <c r="R38" s="47">
        <f t="shared" si="7"/>
        <v>500.41453216402454</v>
      </c>
    </row>
    <row r="39" spans="1:18" s="31" customFormat="1" x14ac:dyDescent="0.2">
      <c r="A39" s="44" t="s">
        <v>280</v>
      </c>
      <c r="B39" s="44" t="s">
        <v>398</v>
      </c>
      <c r="C39" s="45" t="s">
        <v>399</v>
      </c>
      <c r="D39" s="54" t="s">
        <v>400</v>
      </c>
      <c r="E39" s="55" t="s">
        <v>742</v>
      </c>
      <c r="F39" s="45" t="s">
        <v>768</v>
      </c>
      <c r="G39" s="45" t="s">
        <v>370</v>
      </c>
      <c r="H39" s="47" t="s">
        <v>354</v>
      </c>
      <c r="I39" s="47"/>
      <c r="J39" s="48"/>
      <c r="K39" s="47"/>
      <c r="L39" s="47"/>
      <c r="M39" s="47">
        <v>1649000</v>
      </c>
      <c r="N39" s="49">
        <v>0.95</v>
      </c>
      <c r="O39" s="47">
        <f t="shared" si="4"/>
        <v>1566550</v>
      </c>
      <c r="P39" s="50">
        <f>$P$4</f>
        <v>0.23407892834770871</v>
      </c>
      <c r="Q39" s="47">
        <f t="shared" si="6"/>
        <v>19299.807642268584</v>
      </c>
      <c r="R39" s="47">
        <f t="shared" si="7"/>
        <v>63150.192357731416</v>
      </c>
    </row>
    <row r="40" spans="1:18" s="31" customFormat="1" x14ac:dyDescent="0.2">
      <c r="A40" s="44" t="s">
        <v>280</v>
      </c>
      <c r="B40" s="44" t="s">
        <v>463</v>
      </c>
      <c r="C40" s="45" t="s">
        <v>464</v>
      </c>
      <c r="D40" s="54" t="s">
        <v>769</v>
      </c>
      <c r="E40" s="55" t="s">
        <v>742</v>
      </c>
      <c r="F40" s="55" t="s">
        <v>770</v>
      </c>
      <c r="G40" s="45"/>
      <c r="H40" s="47" t="s">
        <v>354</v>
      </c>
      <c r="I40" s="47"/>
      <c r="J40" s="48"/>
      <c r="K40" s="47"/>
      <c r="L40" s="47"/>
      <c r="M40" s="47">
        <v>2727000</v>
      </c>
      <c r="N40" s="49">
        <v>1</v>
      </c>
      <c r="O40" s="47">
        <f t="shared" si="4"/>
        <v>2727000</v>
      </c>
      <c r="P40" s="72">
        <v>0</v>
      </c>
      <c r="Q40" s="47">
        <f t="shared" si="6"/>
        <v>0</v>
      </c>
      <c r="R40" s="47">
        <f t="shared" si="7"/>
        <v>0</v>
      </c>
    </row>
    <row r="41" spans="1:18" s="31" customFormat="1" x14ac:dyDescent="0.2">
      <c r="A41" s="44" t="s">
        <v>280</v>
      </c>
      <c r="B41" s="44" t="s">
        <v>417</v>
      </c>
      <c r="C41" s="45" t="s">
        <v>418</v>
      </c>
      <c r="D41" s="54" t="s">
        <v>771</v>
      </c>
      <c r="E41" s="55" t="s">
        <v>747</v>
      </c>
      <c r="F41" s="45" t="s">
        <v>419</v>
      </c>
      <c r="G41" s="45" t="s">
        <v>405</v>
      </c>
      <c r="H41" s="47"/>
      <c r="I41" s="47"/>
      <c r="J41" s="48"/>
      <c r="K41" s="47"/>
      <c r="L41" s="47"/>
      <c r="M41" s="47">
        <v>258944.94</v>
      </c>
      <c r="N41" s="49">
        <v>0.5</v>
      </c>
      <c r="O41" s="47">
        <f t="shared" si="4"/>
        <v>129472.47</v>
      </c>
      <c r="P41" s="50">
        <f t="shared" si="5"/>
        <v>0.23407892834770871</v>
      </c>
      <c r="Q41" s="47">
        <f t="shared" si="6"/>
        <v>30306.777028130866</v>
      </c>
      <c r="R41" s="47">
        <f t="shared" si="7"/>
        <v>99165.692971869139</v>
      </c>
    </row>
    <row r="42" spans="1:18" s="31" customFormat="1" x14ac:dyDescent="0.2">
      <c r="A42" s="44" t="s">
        <v>280</v>
      </c>
      <c r="B42" s="178" t="s">
        <v>438</v>
      </c>
      <c r="C42" s="66" t="s">
        <v>441</v>
      </c>
      <c r="D42" s="68" t="s">
        <v>442</v>
      </c>
      <c r="E42" s="67" t="s">
        <v>742</v>
      </c>
      <c r="F42" s="67" t="s">
        <v>772</v>
      </c>
      <c r="G42" s="45"/>
      <c r="H42" s="47" t="s">
        <v>354</v>
      </c>
      <c r="I42" s="47"/>
      <c r="J42" s="48"/>
      <c r="K42" s="47"/>
      <c r="L42" s="47"/>
      <c r="M42" s="47">
        <v>420000</v>
      </c>
      <c r="N42" s="49">
        <f>1-0.47</f>
        <v>0.53</v>
      </c>
      <c r="O42" s="47">
        <f t="shared" si="4"/>
        <v>222600</v>
      </c>
      <c r="P42" s="50">
        <f>$P$4</f>
        <v>0.23407892834770871</v>
      </c>
      <c r="Q42" s="47">
        <f t="shared" si="6"/>
        <v>46207.180455837697</v>
      </c>
      <c r="R42" s="47">
        <f t="shared" si="7"/>
        <v>151192.81954416231</v>
      </c>
    </row>
    <row r="43" spans="1:18" s="31" customFormat="1" x14ac:dyDescent="0.2">
      <c r="A43" s="44" t="s">
        <v>280</v>
      </c>
      <c r="B43" s="178" t="s">
        <v>438</v>
      </c>
      <c r="C43" s="66" t="s">
        <v>439</v>
      </c>
      <c r="D43" s="68" t="s">
        <v>383</v>
      </c>
      <c r="E43" s="67" t="s">
        <v>742</v>
      </c>
      <c r="F43" s="66" t="s">
        <v>773</v>
      </c>
      <c r="G43" s="45"/>
      <c r="H43" s="47"/>
      <c r="I43" s="47"/>
      <c r="J43" s="48"/>
      <c r="K43" s="47"/>
      <c r="L43" s="47"/>
      <c r="M43" s="47">
        <v>5173097</v>
      </c>
      <c r="N43" s="49">
        <f>1-0.47</f>
        <v>0.53</v>
      </c>
      <c r="O43" s="47">
        <f t="shared" si="4"/>
        <v>2741741.41</v>
      </c>
      <c r="P43" s="50">
        <f t="shared" ref="P43:P44" si="8">$P$4</f>
        <v>0.23407892834770871</v>
      </c>
      <c r="Q43" s="47">
        <f t="shared" si="6"/>
        <v>569129.11093941098</v>
      </c>
      <c r="R43" s="47">
        <f t="shared" si="7"/>
        <v>1862226.4790605889</v>
      </c>
    </row>
    <row r="44" spans="1:18" s="31" customFormat="1" x14ac:dyDescent="0.2">
      <c r="A44" s="44" t="s">
        <v>280</v>
      </c>
      <c r="B44" s="178" t="s">
        <v>438</v>
      </c>
      <c r="C44" s="66" t="s">
        <v>774</v>
      </c>
      <c r="D44" s="68" t="s">
        <v>442</v>
      </c>
      <c r="E44" s="67" t="s">
        <v>742</v>
      </c>
      <c r="F44" s="67" t="s">
        <v>775</v>
      </c>
      <c r="G44" s="45"/>
      <c r="H44" s="47" t="s">
        <v>354</v>
      </c>
      <c r="I44" s="47"/>
      <c r="J44" s="48"/>
      <c r="K44" s="47"/>
      <c r="L44" s="47"/>
      <c r="M44" s="47">
        <v>640000</v>
      </c>
      <c r="N44" s="49">
        <f>1-0.47</f>
        <v>0.53</v>
      </c>
      <c r="O44" s="47">
        <f t="shared" si="4"/>
        <v>339200</v>
      </c>
      <c r="P44" s="50">
        <f t="shared" si="8"/>
        <v>0.23407892834770871</v>
      </c>
      <c r="Q44" s="47">
        <f t="shared" si="6"/>
        <v>70410.941646990788</v>
      </c>
      <c r="R44" s="47">
        <f t="shared" si="7"/>
        <v>230389.05835300923</v>
      </c>
    </row>
    <row r="45" spans="1:18" s="31" customFormat="1" x14ac:dyDescent="0.2">
      <c r="A45" s="44" t="s">
        <v>280</v>
      </c>
      <c r="B45" s="178" t="s">
        <v>776</v>
      </c>
      <c r="C45" s="45" t="s">
        <v>777</v>
      </c>
      <c r="D45" s="54">
        <v>3552</v>
      </c>
      <c r="E45" s="55" t="s">
        <v>747</v>
      </c>
      <c r="F45" t="s">
        <v>778</v>
      </c>
      <c r="G45" s="45"/>
      <c r="H45" s="47" t="s">
        <v>354</v>
      </c>
      <c r="I45" s="78">
        <v>5406352</v>
      </c>
      <c r="J45" s="434">
        <f>VLOOKUP(A45,'Escalation Factors'!$C$18:$H$31,6,FALSE)</f>
        <v>1.04817</v>
      </c>
      <c r="K45" s="47">
        <f>I45*J45</f>
        <v>5666775.9758400004</v>
      </c>
      <c r="L45" s="47">
        <f t="shared" ref="L45:L53" si="9">K45*$L$4</f>
        <v>118265.61461578081</v>
      </c>
      <c r="M45" s="47">
        <f t="shared" ref="M45:M53" si="10">K45+L45</f>
        <v>5785041.5904557817</v>
      </c>
      <c r="N45" s="49">
        <v>0.25</v>
      </c>
      <c r="O45" s="47">
        <f t="shared" si="4"/>
        <v>1446260.3976139454</v>
      </c>
      <c r="P45" s="50">
        <f>$P$4</f>
        <v>0.23407892834770871</v>
      </c>
      <c r="Q45" s="47">
        <f t="shared" si="6"/>
        <v>1015617.2519556104</v>
      </c>
      <c r="R45" s="47">
        <f t="shared" si="7"/>
        <v>3323163.940886226</v>
      </c>
    </row>
    <row r="46" spans="1:18" s="31" customFormat="1" x14ac:dyDescent="0.2">
      <c r="A46" s="44" t="s">
        <v>280</v>
      </c>
      <c r="B46" s="63" t="s">
        <v>760</v>
      </c>
      <c r="C46" s="64" t="s">
        <v>779</v>
      </c>
      <c r="D46" s="54" t="s">
        <v>780</v>
      </c>
      <c r="E46" s="55" t="s">
        <v>747</v>
      </c>
      <c r="F46" s="45" t="s">
        <v>781</v>
      </c>
      <c r="G46" s="45" t="s">
        <v>405</v>
      </c>
      <c r="H46" s="73" t="s">
        <v>354</v>
      </c>
      <c r="I46" s="78">
        <v>3170000</v>
      </c>
      <c r="J46" s="434">
        <f>VLOOKUP(A46,'Escalation Factors'!$C$18:$H$31,6,FALSE)</f>
        <v>1.04817</v>
      </c>
      <c r="K46" s="47">
        <f t="shared" ref="K46:K53" si="11">I46*J46</f>
        <v>3322698.9000000004</v>
      </c>
      <c r="L46" s="47">
        <f t="shared" si="9"/>
        <v>69344.726043000002</v>
      </c>
      <c r="M46" s="47">
        <f t="shared" si="10"/>
        <v>3392043.6260430003</v>
      </c>
      <c r="N46" s="49">
        <f>1-0.17</f>
        <v>0.83</v>
      </c>
      <c r="O46" s="47">
        <f t="shared" si="4"/>
        <v>2815396.2096156902</v>
      </c>
      <c r="P46" s="50">
        <f>$P$4</f>
        <v>0.23407892834770871</v>
      </c>
      <c r="Q46" s="47">
        <f t="shared" si="6"/>
        <v>134981.00927177968</v>
      </c>
      <c r="R46" s="47">
        <f t="shared" si="7"/>
        <v>441666.40715553041</v>
      </c>
    </row>
    <row r="47" spans="1:18" s="31" customFormat="1" x14ac:dyDescent="0.2">
      <c r="A47" s="44" t="s">
        <v>280</v>
      </c>
      <c r="B47" s="44" t="s">
        <v>782</v>
      </c>
      <c r="C47" s="45" t="s">
        <v>388</v>
      </c>
      <c r="D47" s="54">
        <v>3553</v>
      </c>
      <c r="E47" s="55" t="s">
        <v>747</v>
      </c>
      <c r="F47" s="66" t="s">
        <v>783</v>
      </c>
      <c r="G47" s="45" t="s">
        <v>363</v>
      </c>
      <c r="H47" s="73" t="s">
        <v>354</v>
      </c>
      <c r="I47" s="78">
        <v>2900000</v>
      </c>
      <c r="J47" s="434">
        <f>VLOOKUP(A47,'Escalation Factors'!$C$18:$H$31,6,FALSE)</f>
        <v>1.04817</v>
      </c>
      <c r="K47" s="47">
        <f t="shared" si="11"/>
        <v>3039693</v>
      </c>
      <c r="L47" s="47">
        <f t="shared" si="9"/>
        <v>63438.392910000002</v>
      </c>
      <c r="M47" s="47">
        <f t="shared" si="10"/>
        <v>3103131.3929099999</v>
      </c>
      <c r="N47" s="49">
        <v>0.25</v>
      </c>
      <c r="O47" s="47">
        <f t="shared" si="4"/>
        <v>775782.84822749998</v>
      </c>
      <c r="P47" s="50">
        <f>$P$4</f>
        <v>0.23407892834770871</v>
      </c>
      <c r="Q47" s="47">
        <f t="shared" si="6"/>
        <v>544783.25323087908</v>
      </c>
      <c r="R47" s="47">
        <f t="shared" si="7"/>
        <v>1782565.2914516209</v>
      </c>
    </row>
    <row r="48" spans="1:18" s="31" customFormat="1" x14ac:dyDescent="0.2">
      <c r="A48" s="44" t="s">
        <v>280</v>
      </c>
      <c r="B48" s="44" t="s">
        <v>480</v>
      </c>
      <c r="C48" s="45" t="s">
        <v>481</v>
      </c>
      <c r="D48" s="54" t="s">
        <v>784</v>
      </c>
      <c r="E48" s="55" t="s">
        <v>747</v>
      </c>
      <c r="F48"/>
      <c r="G48" s="45" t="s">
        <v>405</v>
      </c>
      <c r="H48" s="47" t="s">
        <v>354</v>
      </c>
      <c r="I48" s="78">
        <v>470000</v>
      </c>
      <c r="J48" s="434">
        <f>VLOOKUP(A48,'Escalation Factors'!$C$18:$H$31,6,FALSE)</f>
        <v>1.04817</v>
      </c>
      <c r="K48" s="47">
        <f t="shared" si="11"/>
        <v>492639.9</v>
      </c>
      <c r="L48" s="47">
        <f t="shared" si="9"/>
        <v>10281.394713</v>
      </c>
      <c r="M48" s="47">
        <f t="shared" si="10"/>
        <v>502921.29471300001</v>
      </c>
      <c r="N48" s="49">
        <v>0.5</v>
      </c>
      <c r="O48" s="47">
        <f t="shared" si="4"/>
        <v>251460.64735650001</v>
      </c>
      <c r="P48" s="50">
        <f>$P$4</f>
        <v>0.23407892834770871</v>
      </c>
      <c r="Q48" s="47">
        <f t="shared" si="6"/>
        <v>58861.638854830613</v>
      </c>
      <c r="R48" s="47">
        <f t="shared" si="7"/>
        <v>192599.00850166939</v>
      </c>
    </row>
    <row r="49" spans="1:18" s="31" customFormat="1" x14ac:dyDescent="0.2">
      <c r="A49" s="44" t="s">
        <v>280</v>
      </c>
      <c r="B49" s="44" t="s">
        <v>414</v>
      </c>
      <c r="C49" s="45" t="s">
        <v>415</v>
      </c>
      <c r="D49" s="54" t="s">
        <v>785</v>
      </c>
      <c r="E49" s="55" t="s">
        <v>747</v>
      </c>
      <c r="F49" s="45" t="s">
        <v>416</v>
      </c>
      <c r="G49" s="45" t="s">
        <v>405</v>
      </c>
      <c r="H49" s="47" t="s">
        <v>354</v>
      </c>
      <c r="I49" s="78">
        <v>118000</v>
      </c>
      <c r="J49" s="434">
        <f>VLOOKUP(A49,'Escalation Factors'!$C$18:$H$31,6,FALSE)</f>
        <v>1.04817</v>
      </c>
      <c r="K49" s="47">
        <f t="shared" si="11"/>
        <v>123684.06000000001</v>
      </c>
      <c r="L49" s="47">
        <f t="shared" si="9"/>
        <v>2581.2863322000003</v>
      </c>
      <c r="M49" s="47">
        <f t="shared" si="10"/>
        <v>126265.34633220002</v>
      </c>
      <c r="N49" s="49">
        <v>0.5</v>
      </c>
      <c r="O49" s="47">
        <f t="shared" si="4"/>
        <v>63132.673166100009</v>
      </c>
      <c r="P49" s="50">
        <f t="shared" si="5"/>
        <v>0.23407892834770871</v>
      </c>
      <c r="Q49" s="47">
        <f t="shared" si="6"/>
        <v>14778.028478446837</v>
      </c>
      <c r="R49" s="47">
        <f t="shared" si="7"/>
        <v>48354.64468765317</v>
      </c>
    </row>
    <row r="50" spans="1:18" s="31" customFormat="1" x14ac:dyDescent="0.2">
      <c r="A50" s="44" t="s">
        <v>280</v>
      </c>
      <c r="B50" s="44" t="s">
        <v>412</v>
      </c>
      <c r="C50" s="45" t="s">
        <v>413</v>
      </c>
      <c r="D50" s="54">
        <v>3646</v>
      </c>
      <c r="E50" s="55" t="s">
        <v>747</v>
      </c>
      <c r="F50" s="45" t="s">
        <v>786</v>
      </c>
      <c r="G50" s="45" t="s">
        <v>405</v>
      </c>
      <c r="H50" s="47" t="s">
        <v>354</v>
      </c>
      <c r="I50" s="78">
        <v>125000</v>
      </c>
      <c r="J50" s="434">
        <f>VLOOKUP(A50,'Escalation Factors'!$C$18:$H$31,6,FALSE)</f>
        <v>1.04817</v>
      </c>
      <c r="K50" s="47">
        <f t="shared" si="11"/>
        <v>131021.25</v>
      </c>
      <c r="L50" s="47">
        <f t="shared" si="9"/>
        <v>2734.4134875</v>
      </c>
      <c r="M50" s="47">
        <f t="shared" si="10"/>
        <v>133755.66348749999</v>
      </c>
      <c r="N50" s="49">
        <v>0.5</v>
      </c>
      <c r="O50" s="47">
        <f t="shared" si="4"/>
        <v>66877.831743749994</v>
      </c>
      <c r="P50" s="50">
        <f t="shared" si="5"/>
        <v>0.23407892834770871</v>
      </c>
      <c r="Q50" s="47">
        <f t="shared" si="6"/>
        <v>15654.691184795374</v>
      </c>
      <c r="R50" s="47">
        <f t="shared" si="7"/>
        <v>51223.140558954619</v>
      </c>
    </row>
    <row r="51" spans="1:18" s="31" customFormat="1" x14ac:dyDescent="0.2">
      <c r="A51" s="44" t="s">
        <v>280</v>
      </c>
      <c r="B51" s="44" t="s">
        <v>395</v>
      </c>
      <c r="C51" s="45" t="s">
        <v>396</v>
      </c>
      <c r="D51" s="54" t="s">
        <v>397</v>
      </c>
      <c r="E51" s="55" t="s">
        <v>747</v>
      </c>
      <c r="F51" s="45" t="s">
        <v>787</v>
      </c>
      <c r="G51" s="45" t="s">
        <v>370</v>
      </c>
      <c r="H51" s="47" t="s">
        <v>354</v>
      </c>
      <c r="I51" s="78">
        <v>10561000</v>
      </c>
      <c r="J51" s="434">
        <f>VLOOKUP(A51,'Escalation Factors'!$C$18:$H$31,6,FALSE)</f>
        <v>1.04817</v>
      </c>
      <c r="K51" s="47">
        <f t="shared" si="11"/>
        <v>11069723.370000001</v>
      </c>
      <c r="L51" s="47">
        <f t="shared" si="9"/>
        <v>231025.1267319</v>
      </c>
      <c r="M51" s="47">
        <f t="shared" si="10"/>
        <v>11300748.496731902</v>
      </c>
      <c r="N51" s="49">
        <v>0.95</v>
      </c>
      <c r="O51" s="47">
        <f t="shared" si="4"/>
        <v>10735711.071895305</v>
      </c>
      <c r="P51" s="50">
        <f t="shared" si="5"/>
        <v>0.23407892834770871</v>
      </c>
      <c r="Q51" s="47">
        <f t="shared" si="6"/>
        <v>132263.35488209952</v>
      </c>
      <c r="R51" s="47">
        <f t="shared" si="7"/>
        <v>432774.06995449692</v>
      </c>
    </row>
    <row r="52" spans="1:18" s="31" customFormat="1" x14ac:dyDescent="0.2">
      <c r="A52" s="44" t="s">
        <v>280</v>
      </c>
      <c r="B52" s="44" t="s">
        <v>776</v>
      </c>
      <c r="C52" s="45" t="s">
        <v>788</v>
      </c>
      <c r="D52" s="54" t="s">
        <v>789</v>
      </c>
      <c r="E52" s="55" t="s">
        <v>747</v>
      </c>
      <c r="F52" s="45" t="s">
        <v>790</v>
      </c>
      <c r="G52" s="45"/>
      <c r="H52" s="73" t="s">
        <v>354</v>
      </c>
      <c r="I52" s="78">
        <v>9910000</v>
      </c>
      <c r="J52" s="434">
        <f>VLOOKUP(A52,'Escalation Factors'!$C$18:$H$31,6,FALSE)</f>
        <v>1.04817</v>
      </c>
      <c r="K52" s="47">
        <f t="shared" si="11"/>
        <v>10387364.700000001</v>
      </c>
      <c r="L52" s="47">
        <f t="shared" si="9"/>
        <v>216784.30128900002</v>
      </c>
      <c r="M52" s="47">
        <f t="shared" si="10"/>
        <v>10604149.001289001</v>
      </c>
      <c r="N52" s="49">
        <f>1-0.75</f>
        <v>0.25</v>
      </c>
      <c r="O52" s="47">
        <f t="shared" si="4"/>
        <v>2651037.2503222502</v>
      </c>
      <c r="P52" s="50">
        <f>$P$4</f>
        <v>0.23407892834770871</v>
      </c>
      <c r="Q52" s="47">
        <f t="shared" si="6"/>
        <v>1861655.8756958661</v>
      </c>
      <c r="R52" s="47">
        <f t="shared" si="7"/>
        <v>6091455.8752708845</v>
      </c>
    </row>
    <row r="53" spans="1:18" s="31" customFormat="1" x14ac:dyDescent="0.2">
      <c r="A53" s="44" t="s">
        <v>280</v>
      </c>
      <c r="B53" s="44" t="s">
        <v>410</v>
      </c>
      <c r="C53" s="45" t="s">
        <v>411</v>
      </c>
      <c r="D53" s="54" t="s">
        <v>791</v>
      </c>
      <c r="E53" s="55" t="s">
        <v>742</v>
      </c>
      <c r="F53"/>
      <c r="G53" s="45"/>
      <c r="H53" s="47"/>
      <c r="I53" s="78">
        <v>2000</v>
      </c>
      <c r="J53" s="434">
        <f>VLOOKUP(A53,'Escalation Factors'!$C$18:$H$31,6,FALSE)</f>
        <v>1.04817</v>
      </c>
      <c r="K53" s="47">
        <f t="shared" si="11"/>
        <v>2096.34</v>
      </c>
      <c r="L53" s="47">
        <f t="shared" si="9"/>
        <v>43.750615800000006</v>
      </c>
      <c r="M53" s="47">
        <f t="shared" si="10"/>
        <v>2140.0906158000003</v>
      </c>
      <c r="N53" s="49">
        <f>1-0.5</f>
        <v>0.5</v>
      </c>
      <c r="O53" s="47">
        <f t="shared" si="4"/>
        <v>1070.0453079000001</v>
      </c>
      <c r="P53" s="50">
        <v>0</v>
      </c>
      <c r="Q53" s="47">
        <f t="shared" si="6"/>
        <v>0</v>
      </c>
      <c r="R53" s="47">
        <f t="shared" si="7"/>
        <v>1070.0453079000001</v>
      </c>
    </row>
    <row r="54" spans="1:18" s="58" customFormat="1" ht="15" x14ac:dyDescent="0.25">
      <c r="A54" s="57" t="s">
        <v>280</v>
      </c>
      <c r="B54" s="57"/>
      <c r="D54" s="59"/>
      <c r="G54" s="59" t="s">
        <v>351</v>
      </c>
      <c r="H54" s="60">
        <f>SUBTOTAL(9,H36:H53)</f>
        <v>0</v>
      </c>
      <c r="I54" s="60">
        <f>SUBTOTAL(9,I36:I53)</f>
        <v>32662352</v>
      </c>
      <c r="J54" s="60"/>
      <c r="K54" s="60">
        <f>SUBTOTAL(9,K36:K53)</f>
        <v>34235697.495840006</v>
      </c>
      <c r="L54" s="60">
        <f>SUBTOTAL(9,L36:L53)</f>
        <v>714499.00673818076</v>
      </c>
      <c r="M54" s="60">
        <f>SUBTOTAL(9,M36:M53)</f>
        <v>47338083.362578191</v>
      </c>
      <c r="N54" s="60"/>
      <c r="O54" s="60">
        <f>SUBTOTAL(9,O36:O53)</f>
        <v>26924100.055248939</v>
      </c>
      <c r="P54" s="61"/>
      <c r="Q54" s="60">
        <f>SUBTOTAL(9,Q36:Q53)</f>
        <v>4778232.8608286865</v>
      </c>
      <c r="R54" s="60">
        <f>SUBTOTAL(9,R36:R53)</f>
        <v>15635750.446500558</v>
      </c>
    </row>
    <row r="55" spans="1:18" s="31" customFormat="1" x14ac:dyDescent="0.2">
      <c r="A55" s="44" t="s">
        <v>281</v>
      </c>
      <c r="B55" s="44" t="s">
        <v>760</v>
      </c>
      <c r="C55" s="45" t="s">
        <v>792</v>
      </c>
      <c r="D55" s="54" t="s">
        <v>793</v>
      </c>
      <c r="E55" s="55" t="s">
        <v>747</v>
      </c>
      <c r="F55" s="45" t="s">
        <v>794</v>
      </c>
      <c r="G55" s="45" t="s">
        <v>466</v>
      </c>
      <c r="H55" s="73" t="s">
        <v>354</v>
      </c>
      <c r="I55" s="78">
        <v>336887000</v>
      </c>
      <c r="J55" s="434">
        <f>VLOOKUP(A55,'Escalation Factors'!$C$18:$H$31,6,FALSE)</f>
        <v>1.1541332219119997</v>
      </c>
      <c r="K55" s="47">
        <f t="shared" ref="K55" si="12">I55*J55</f>
        <v>388812478.73026788</v>
      </c>
      <c r="L55" s="47">
        <f t="shared" ref="L55" si="13">K55*$L$4</f>
        <v>8114516.4311006907</v>
      </c>
      <c r="M55" s="47">
        <f t="shared" ref="M55" si="14">K55+L55</f>
        <v>396926995.16136855</v>
      </c>
      <c r="N55" s="49">
        <f>1-0.17</f>
        <v>0.83</v>
      </c>
      <c r="O55" s="47">
        <f t="shared" ref="O55:O72" si="15">M55*N55</f>
        <v>329449405.98393589</v>
      </c>
      <c r="P55" s="50">
        <f>$P$4</f>
        <v>0.23407892834770871</v>
      </c>
      <c r="Q55" s="47">
        <f t="shared" ref="Q55:Q72" si="16">(M55-O55)*P55</f>
        <v>15795081.762140384</v>
      </c>
      <c r="R55" s="47">
        <f t="shared" ref="R55:R72" si="17">M55-O55-Q55</f>
        <v>51682507.41529227</v>
      </c>
    </row>
    <row r="56" spans="1:18" s="31" customFormat="1" x14ac:dyDescent="0.2">
      <c r="A56" s="44" t="s">
        <v>281</v>
      </c>
      <c r="B56" s="44" t="s">
        <v>760</v>
      </c>
      <c r="C56" s="45" t="s">
        <v>795</v>
      </c>
      <c r="D56" s="54" t="s">
        <v>796</v>
      </c>
      <c r="E56" s="55" t="s">
        <v>747</v>
      </c>
      <c r="F56" s="45" t="s">
        <v>797</v>
      </c>
      <c r="G56" s="45" t="s">
        <v>466</v>
      </c>
      <c r="H56" s="73" t="s">
        <v>354</v>
      </c>
      <c r="I56" s="78">
        <v>62646000</v>
      </c>
      <c r="J56" s="434">
        <f>VLOOKUP(A56,'Escalation Factors'!$C$18:$H$31,6,FALSE)</f>
        <v>1.1541332219119997</v>
      </c>
      <c r="K56" s="47">
        <f t="shared" ref="K56:K61" si="18">I56*J56</f>
        <v>72301829.819899142</v>
      </c>
      <c r="L56" s="47">
        <f t="shared" ref="L56:L61" si="19">K56*$L$4</f>
        <v>1508939.1883412951</v>
      </c>
      <c r="M56" s="47">
        <f t="shared" ref="M56:M61" si="20">K56+L56</f>
        <v>73810769.008240432</v>
      </c>
      <c r="N56" s="49">
        <f>1-0.17</f>
        <v>0.83</v>
      </c>
      <c r="O56" s="47">
        <f t="shared" si="15"/>
        <v>61262938.276839554</v>
      </c>
      <c r="P56" s="50">
        <f t="shared" ref="P56:P67" si="21">$P$4</f>
        <v>0.23407892834770871</v>
      </c>
      <c r="Q56" s="47">
        <f t="shared" si="16"/>
        <v>2937182.7706947634</v>
      </c>
      <c r="R56" s="47">
        <f t="shared" si="17"/>
        <v>9610647.9607061148</v>
      </c>
    </row>
    <row r="57" spans="1:18" s="31" customFormat="1" x14ac:dyDescent="0.2">
      <c r="A57" s="44" t="s">
        <v>281</v>
      </c>
      <c r="B57" s="44" t="s">
        <v>760</v>
      </c>
      <c r="C57" s="45" t="s">
        <v>798</v>
      </c>
      <c r="D57" s="54">
        <v>3.61</v>
      </c>
      <c r="E57" s="55" t="s">
        <v>747</v>
      </c>
      <c r="F57" s="45" t="s">
        <v>799</v>
      </c>
      <c r="G57" s="45" t="s">
        <v>466</v>
      </c>
      <c r="H57" s="47" t="s">
        <v>354</v>
      </c>
      <c r="I57" s="78">
        <v>23675000</v>
      </c>
      <c r="J57" s="434">
        <f>VLOOKUP(A57,'Escalation Factors'!$C$18:$H$31,6,FALSE)</f>
        <v>1.1541332219119997</v>
      </c>
      <c r="K57" s="47">
        <f t="shared" si="18"/>
        <v>27324104.028766595</v>
      </c>
      <c r="L57" s="47">
        <f t="shared" si="19"/>
        <v>570254.0510803588</v>
      </c>
      <c r="M57" s="47">
        <f t="shared" si="20"/>
        <v>27894358.079846952</v>
      </c>
      <c r="N57" s="49">
        <f>1-0.17</f>
        <v>0.83</v>
      </c>
      <c r="O57" s="47">
        <f t="shared" si="15"/>
        <v>23152317.206272971</v>
      </c>
      <c r="P57" s="50">
        <f t="shared" si="21"/>
        <v>0.23407892834770871</v>
      </c>
      <c r="Q57" s="47">
        <f t="shared" si="16"/>
        <v>1110011.8458672301</v>
      </c>
      <c r="R57" s="47">
        <f t="shared" si="17"/>
        <v>3632029.0277067511</v>
      </c>
    </row>
    <row r="58" spans="1:18" s="31" customFormat="1" x14ac:dyDescent="0.2">
      <c r="A58" s="44" t="s">
        <v>281</v>
      </c>
      <c r="B58" s="44" t="s">
        <v>760</v>
      </c>
      <c r="C58" s="45" t="s">
        <v>800</v>
      </c>
      <c r="D58" s="54" t="s">
        <v>801</v>
      </c>
      <c r="E58" s="55" t="s">
        <v>747</v>
      </c>
      <c r="F58" s="45" t="s">
        <v>802</v>
      </c>
      <c r="G58" s="45" t="s">
        <v>370</v>
      </c>
      <c r="H58" s="47" t="s">
        <v>354</v>
      </c>
      <c r="I58" s="78">
        <v>69540000</v>
      </c>
      <c r="J58" s="434">
        <f>VLOOKUP(A58,'Escalation Factors'!$C$18:$H$31,6,FALSE)</f>
        <v>1.1541332219119997</v>
      </c>
      <c r="K58" s="47">
        <f t="shared" si="18"/>
        <v>80258424.251760468</v>
      </c>
      <c r="L58" s="47">
        <f t="shared" si="19"/>
        <v>1674993.3141342408</v>
      </c>
      <c r="M58" s="47">
        <f t="shared" si="20"/>
        <v>81933417.565894708</v>
      </c>
      <c r="N58" s="49">
        <f>1-0.2</f>
        <v>0.8</v>
      </c>
      <c r="O58" s="47">
        <f t="shared" si="15"/>
        <v>65546734.052715771</v>
      </c>
      <c r="P58" s="50">
        <f t="shared" si="21"/>
        <v>0.23407892834770871</v>
      </c>
      <c r="Q58" s="47">
        <f t="shared" si="16"/>
        <v>3835777.3159379922</v>
      </c>
      <c r="R58" s="47">
        <f t="shared" si="17"/>
        <v>12550906.197240945</v>
      </c>
    </row>
    <row r="59" spans="1:18" s="31" customFormat="1" x14ac:dyDescent="0.2">
      <c r="A59" s="44" t="s">
        <v>281</v>
      </c>
      <c r="B59" s="44" t="s">
        <v>760</v>
      </c>
      <c r="C59" s="45" t="s">
        <v>803</v>
      </c>
      <c r="D59" s="54">
        <v>3.621</v>
      </c>
      <c r="E59" s="55" t="s">
        <v>747</v>
      </c>
      <c r="F59" s="45" t="s">
        <v>804</v>
      </c>
      <c r="G59" s="45" t="s">
        <v>370</v>
      </c>
      <c r="H59" s="47" t="s">
        <v>354</v>
      </c>
      <c r="I59" s="78">
        <v>27786000</v>
      </c>
      <c r="J59" s="434">
        <f>VLOOKUP(A59,'Escalation Factors'!$C$18:$H$31,6,FALSE)</f>
        <v>1.1541332219119997</v>
      </c>
      <c r="K59" s="47">
        <f t="shared" si="18"/>
        <v>32068745.704046823</v>
      </c>
      <c r="L59" s="47">
        <f t="shared" si="19"/>
        <v>669274.72284345713</v>
      </c>
      <c r="M59" s="47">
        <f t="shared" si="20"/>
        <v>32738020.42689028</v>
      </c>
      <c r="N59" s="49">
        <f>1-0.2</f>
        <v>0.8</v>
      </c>
      <c r="O59" s="47">
        <f t="shared" si="15"/>
        <v>26190416.341512226</v>
      </c>
      <c r="P59" s="50">
        <f t="shared" si="21"/>
        <v>0.23407892834770871</v>
      </c>
      <c r="Q59" s="47">
        <f t="shared" si="16"/>
        <v>1532656.1475503745</v>
      </c>
      <c r="R59" s="47">
        <f t="shared" si="17"/>
        <v>5014947.9378276803</v>
      </c>
    </row>
    <row r="60" spans="1:18" s="31" customFormat="1" x14ac:dyDescent="0.2">
      <c r="A60" s="44" t="s">
        <v>281</v>
      </c>
      <c r="B60" s="44" t="s">
        <v>760</v>
      </c>
      <c r="C60" s="45" t="s">
        <v>805</v>
      </c>
      <c r="D60" s="54">
        <v>3.6440000000000001</v>
      </c>
      <c r="E60" s="55" t="s">
        <v>747</v>
      </c>
      <c r="F60" s="45" t="s">
        <v>806</v>
      </c>
      <c r="G60" s="45" t="s">
        <v>405</v>
      </c>
      <c r="H60" s="47" t="s">
        <v>354</v>
      </c>
      <c r="I60" s="78">
        <v>160000</v>
      </c>
      <c r="J60" s="434">
        <f>VLOOKUP(A60,'Escalation Factors'!$C$18:$H$31,6,FALSE)</f>
        <v>1.1541332219119997</v>
      </c>
      <c r="K60" s="47">
        <f t="shared" si="18"/>
        <v>184661.31550591995</v>
      </c>
      <c r="L60" s="47">
        <f t="shared" si="19"/>
        <v>3853.8816546085491</v>
      </c>
      <c r="M60" s="47">
        <f t="shared" si="20"/>
        <v>188515.19716052851</v>
      </c>
      <c r="N60" s="49">
        <f>1-0.17</f>
        <v>0.83</v>
      </c>
      <c r="O60" s="47">
        <f t="shared" si="15"/>
        <v>156467.61364323864</v>
      </c>
      <c r="P60" s="50">
        <f t="shared" si="21"/>
        <v>0.23407892834770871</v>
      </c>
      <c r="Q60" s="47">
        <f t="shared" si="16"/>
        <v>7501.6640058609055</v>
      </c>
      <c r="R60" s="47">
        <f t="shared" si="17"/>
        <v>24545.919511428961</v>
      </c>
    </row>
    <row r="61" spans="1:18" s="31" customFormat="1" x14ac:dyDescent="0.2">
      <c r="A61" s="44" t="s">
        <v>281</v>
      </c>
      <c r="B61" s="44" t="s">
        <v>760</v>
      </c>
      <c r="C61" s="45" t="s">
        <v>807</v>
      </c>
      <c r="D61" s="54">
        <v>4.3079999999999998</v>
      </c>
      <c r="E61" s="55" t="s">
        <v>747</v>
      </c>
      <c r="F61" s="45" t="s">
        <v>808</v>
      </c>
      <c r="G61" s="45" t="s">
        <v>405</v>
      </c>
      <c r="H61" s="47" t="s">
        <v>354</v>
      </c>
      <c r="I61" s="78">
        <v>200000</v>
      </c>
      <c r="J61" s="434">
        <f>VLOOKUP(A61,'Escalation Factors'!$C$18:$H$31,6,FALSE)</f>
        <v>1.1541332219119997</v>
      </c>
      <c r="K61" s="47">
        <f t="shared" si="18"/>
        <v>230826.64438239994</v>
      </c>
      <c r="L61" s="47">
        <f t="shared" si="19"/>
        <v>4817.3520682606868</v>
      </c>
      <c r="M61" s="47">
        <f t="shared" si="20"/>
        <v>235643.99645066063</v>
      </c>
      <c r="N61" s="49">
        <f>1-0.25</f>
        <v>0.75</v>
      </c>
      <c r="O61" s="47">
        <f t="shared" si="15"/>
        <v>176732.99733799548</v>
      </c>
      <c r="P61" s="50">
        <f>$P$4</f>
        <v>0.23407892834770871</v>
      </c>
      <c r="Q61" s="47">
        <f t="shared" si="16"/>
        <v>13789.82354018548</v>
      </c>
      <c r="R61" s="47">
        <f t="shared" si="17"/>
        <v>45121.175572479682</v>
      </c>
    </row>
    <row r="62" spans="1:18" s="31" customFormat="1" x14ac:dyDescent="0.2">
      <c r="A62" s="44" t="s">
        <v>281</v>
      </c>
      <c r="B62" s="44" t="s">
        <v>389</v>
      </c>
      <c r="C62" s="45" t="s">
        <v>390</v>
      </c>
      <c r="D62" s="54" t="s">
        <v>354</v>
      </c>
      <c r="E62" s="55" t="s">
        <v>749</v>
      </c>
      <c r="F62" s="45" t="s">
        <v>809</v>
      </c>
      <c r="G62" s="45" t="s">
        <v>466</v>
      </c>
      <c r="H62" s="47">
        <v>236000</v>
      </c>
      <c r="I62" s="47"/>
      <c r="J62" s="48">
        <f>VLOOKUP(A62,'Escalation Factors'!$C$18:$D$31,2,FALSE)</f>
        <v>1.4164097115883187</v>
      </c>
      <c r="K62" s="47">
        <f t="shared" ref="K62" si="22">H62*J62</f>
        <v>334272.6919348432</v>
      </c>
      <c r="L62" s="47">
        <f t="shared" ref="L62:L66" si="23">K62*$L$4</f>
        <v>6976.2710806801779</v>
      </c>
      <c r="M62" s="47">
        <f t="shared" ref="M62:M66" si="24">K62+L62</f>
        <v>341248.96301552339</v>
      </c>
      <c r="N62" s="49">
        <v>1</v>
      </c>
      <c r="O62" s="47">
        <f t="shared" si="15"/>
        <v>341248.96301552339</v>
      </c>
      <c r="P62" s="72">
        <v>0</v>
      </c>
      <c r="Q62" s="47">
        <f t="shared" si="16"/>
        <v>0</v>
      </c>
      <c r="R62" s="47">
        <f t="shared" si="17"/>
        <v>0</v>
      </c>
    </row>
    <row r="63" spans="1:18" s="31" customFormat="1" x14ac:dyDescent="0.2">
      <c r="A63" s="44" t="s">
        <v>281</v>
      </c>
      <c r="B63" s="44" t="s">
        <v>425</v>
      </c>
      <c r="C63" s="45" t="s">
        <v>810</v>
      </c>
      <c r="D63" s="54">
        <v>3.5539999999999998</v>
      </c>
      <c r="E63" s="55" t="s">
        <v>747</v>
      </c>
      <c r="F63" s="45" t="s">
        <v>811</v>
      </c>
      <c r="G63" s="45" t="s">
        <v>466</v>
      </c>
      <c r="H63" s="47" t="s">
        <v>354</v>
      </c>
      <c r="I63" s="78">
        <v>28770000</v>
      </c>
      <c r="J63" s="434">
        <f>VLOOKUP(A63,'Escalation Factors'!$C$18:$H$31,6,FALSE)</f>
        <v>1.1541332219119997</v>
      </c>
      <c r="K63" s="47">
        <f t="shared" ref="K63:K66" si="25">I63*J63</f>
        <v>33204412.794408232</v>
      </c>
      <c r="L63" s="47">
        <f t="shared" si="23"/>
        <v>692976.09501929977</v>
      </c>
      <c r="M63" s="47">
        <f t="shared" si="24"/>
        <v>33897388.889427535</v>
      </c>
      <c r="N63" s="49">
        <v>1</v>
      </c>
      <c r="O63" s="47">
        <f t="shared" si="15"/>
        <v>33897388.889427535</v>
      </c>
      <c r="P63" s="72">
        <v>0</v>
      </c>
      <c r="Q63" s="47">
        <f t="shared" si="16"/>
        <v>0</v>
      </c>
      <c r="R63" s="47">
        <f t="shared" si="17"/>
        <v>0</v>
      </c>
    </row>
    <row r="64" spans="1:18" s="31" customFormat="1" x14ac:dyDescent="0.2">
      <c r="A64" s="44" t="s">
        <v>281</v>
      </c>
      <c r="B64" s="44" t="s">
        <v>426</v>
      </c>
      <c r="C64" s="45" t="s">
        <v>427</v>
      </c>
      <c r="D64" s="54">
        <v>3.5550000000000002</v>
      </c>
      <c r="E64" s="55" t="s">
        <v>749</v>
      </c>
      <c r="F64" s="45" t="s">
        <v>812</v>
      </c>
      <c r="G64" s="45" t="s">
        <v>466</v>
      </c>
      <c r="H64" s="47" t="s">
        <v>354</v>
      </c>
      <c r="I64" s="78">
        <v>3010000</v>
      </c>
      <c r="J64" s="434">
        <f>VLOOKUP(A64,'Escalation Factors'!$C$18:$H$31,6,FALSE)</f>
        <v>1.1541332219119997</v>
      </c>
      <c r="K64" s="47">
        <f t="shared" si="25"/>
        <v>3473940.9979551192</v>
      </c>
      <c r="L64" s="47">
        <f t="shared" si="23"/>
        <v>72501.148627323331</v>
      </c>
      <c r="M64" s="47">
        <f t="shared" si="24"/>
        <v>3546442.1465824423</v>
      </c>
      <c r="N64" s="49">
        <f>1-0.75</f>
        <v>0.25</v>
      </c>
      <c r="O64" s="47">
        <f t="shared" si="15"/>
        <v>886610.53664561058</v>
      </c>
      <c r="P64" s="50">
        <f t="shared" si="21"/>
        <v>0.23407892834770871</v>
      </c>
      <c r="Q64" s="47">
        <f t="shared" si="16"/>
        <v>622610.53283937427</v>
      </c>
      <c r="R64" s="47">
        <f t="shared" si="17"/>
        <v>2037221.0770974574</v>
      </c>
    </row>
    <row r="65" spans="1:18" s="31" customFormat="1" x14ac:dyDescent="0.2">
      <c r="A65" s="44" t="s">
        <v>281</v>
      </c>
      <c r="B65" s="44" t="s">
        <v>428</v>
      </c>
      <c r="C65" s="45" t="s">
        <v>429</v>
      </c>
      <c r="D65" s="54">
        <v>3.6859999999999999</v>
      </c>
      <c r="E65" s="55" t="s">
        <v>749</v>
      </c>
      <c r="F65" s="45" t="s">
        <v>813</v>
      </c>
      <c r="G65" s="45" t="s">
        <v>466</v>
      </c>
      <c r="H65" s="47" t="s">
        <v>354</v>
      </c>
      <c r="I65" s="78">
        <v>5929000</v>
      </c>
      <c r="J65" s="434">
        <f>VLOOKUP(A65,'Escalation Factors'!$C$18:$H$31,6,FALSE)</f>
        <v>1.1541332219119997</v>
      </c>
      <c r="K65" s="47">
        <f t="shared" si="25"/>
        <v>6842855.8727162462</v>
      </c>
      <c r="L65" s="47">
        <f t="shared" si="23"/>
        <v>142810.40206358806</v>
      </c>
      <c r="M65" s="47">
        <f t="shared" si="24"/>
        <v>6985666.2747798339</v>
      </c>
      <c r="N65" s="49">
        <f>1-0.75</f>
        <v>0.25</v>
      </c>
      <c r="O65" s="47">
        <f t="shared" si="15"/>
        <v>1746416.5686949585</v>
      </c>
      <c r="P65" s="50">
        <f t="shared" si="21"/>
        <v>0.23407892834770871</v>
      </c>
      <c r="Q65" s="47">
        <f t="shared" si="16"/>
        <v>1226397.9565463956</v>
      </c>
      <c r="R65" s="47">
        <f t="shared" si="17"/>
        <v>4012851.7495384798</v>
      </c>
    </row>
    <row r="66" spans="1:18" s="31" customFormat="1" x14ac:dyDescent="0.2">
      <c r="A66" s="44" t="s">
        <v>281</v>
      </c>
      <c r="B66" s="44" t="s">
        <v>432</v>
      </c>
      <c r="C66" s="45" t="s">
        <v>433</v>
      </c>
      <c r="D66" s="54">
        <v>3.5579999999999998</v>
      </c>
      <c r="E66" s="55" t="s">
        <v>747</v>
      </c>
      <c r="F66" s="45" t="s">
        <v>814</v>
      </c>
      <c r="G66" s="45" t="s">
        <v>466</v>
      </c>
      <c r="H66" s="47" t="s">
        <v>354</v>
      </c>
      <c r="I66" s="78">
        <v>1538017</v>
      </c>
      <c r="J66" s="434">
        <f>VLOOKUP(A66,'Escalation Factors'!$C$18:$H$31,6,FALSE)</f>
        <v>1.1541332219119997</v>
      </c>
      <c r="K66" s="47">
        <f t="shared" si="25"/>
        <v>1775076.5155654282</v>
      </c>
      <c r="L66" s="47">
        <f t="shared" si="23"/>
        <v>37045.846879850484</v>
      </c>
      <c r="M66" s="47">
        <f t="shared" si="24"/>
        <v>1812122.3624452786</v>
      </c>
      <c r="N66" s="49">
        <f>1-0.75</f>
        <v>0.25</v>
      </c>
      <c r="O66" s="47">
        <f t="shared" si="15"/>
        <v>453030.59061131964</v>
      </c>
      <c r="P66" s="50">
        <f t="shared" si="21"/>
        <v>0.23407892834770871</v>
      </c>
      <c r="Q66" s="47">
        <f t="shared" si="16"/>
        <v>318134.7454770818</v>
      </c>
      <c r="R66" s="47">
        <f t="shared" si="17"/>
        <v>1040957.0263568773</v>
      </c>
    </row>
    <row r="67" spans="1:18" s="31" customFormat="1" x14ac:dyDescent="0.2">
      <c r="A67" s="44" t="s">
        <v>281</v>
      </c>
      <c r="B67" s="44" t="s">
        <v>453</v>
      </c>
      <c r="C67" s="45" t="s">
        <v>454</v>
      </c>
      <c r="D67" s="54">
        <v>3.5739999999999998</v>
      </c>
      <c r="E67" s="55" t="s">
        <v>749</v>
      </c>
      <c r="F67" s="45"/>
      <c r="G67" s="45" t="s">
        <v>466</v>
      </c>
      <c r="H67" s="47">
        <v>882000</v>
      </c>
      <c r="I67" s="47"/>
      <c r="J67" s="48">
        <f>VLOOKUP(A67,'Escalation Factors'!$C$18:$D$31,2,FALSE)</f>
        <v>1.4164097115883187</v>
      </c>
      <c r="K67" s="47">
        <f t="shared" ref="K67:K68" si="26">H67*J67</f>
        <v>1249273.3656208972</v>
      </c>
      <c r="L67" s="47">
        <f t="shared" ref="L67:L70" si="27">K67*$L$4</f>
        <v>26072.335140508123</v>
      </c>
      <c r="M67" s="47">
        <f t="shared" ref="M67:M70" si="28">K67+L67</f>
        <v>1275345.7007614053</v>
      </c>
      <c r="N67" s="49">
        <f>1-0.75</f>
        <v>0.25</v>
      </c>
      <c r="O67" s="47">
        <f t="shared" si="15"/>
        <v>318836.42519035132</v>
      </c>
      <c r="P67" s="50">
        <f t="shared" si="21"/>
        <v>0.23407892834770871</v>
      </c>
      <c r="Q67" s="47">
        <f t="shared" si="16"/>
        <v>223898.66618031551</v>
      </c>
      <c r="R67" s="47">
        <f t="shared" si="17"/>
        <v>732610.60939073842</v>
      </c>
    </row>
    <row r="68" spans="1:18" s="31" customFormat="1" x14ac:dyDescent="0.2">
      <c r="A68" s="44" t="s">
        <v>281</v>
      </c>
      <c r="B68" s="44" t="s">
        <v>467</v>
      </c>
      <c r="C68" s="45" t="s">
        <v>468</v>
      </c>
      <c r="D68" s="54">
        <v>3.5649999999999999</v>
      </c>
      <c r="E68" s="55" t="s">
        <v>749</v>
      </c>
      <c r="F68" s="45"/>
      <c r="G68" s="45" t="s">
        <v>466</v>
      </c>
      <c r="H68" s="47">
        <v>5069000</v>
      </c>
      <c r="I68" s="47"/>
      <c r="J68" s="48">
        <f>VLOOKUP(A68,'Escalation Factors'!$C$18:$D$31,2,FALSE)</f>
        <v>1.4164097115883187</v>
      </c>
      <c r="K68" s="47">
        <f t="shared" si="26"/>
        <v>7179780.8280411875</v>
      </c>
      <c r="L68" s="47">
        <f t="shared" si="27"/>
        <v>149842.02588121957</v>
      </c>
      <c r="M68" s="47">
        <f t="shared" si="28"/>
        <v>7329622.8539224071</v>
      </c>
      <c r="N68" s="49">
        <v>1</v>
      </c>
      <c r="O68" s="47">
        <f t="shared" si="15"/>
        <v>7329622.8539224071</v>
      </c>
      <c r="P68" s="72">
        <v>0</v>
      </c>
      <c r="Q68" s="47">
        <f t="shared" si="16"/>
        <v>0</v>
      </c>
      <c r="R68" s="47">
        <f t="shared" si="17"/>
        <v>0</v>
      </c>
    </row>
    <row r="69" spans="1:18" s="31" customFormat="1" x14ac:dyDescent="0.2">
      <c r="A69" s="44" t="s">
        <v>281</v>
      </c>
      <c r="B69" s="44" t="s">
        <v>436</v>
      </c>
      <c r="C69" s="45" t="s">
        <v>815</v>
      </c>
      <c r="D69" s="62" t="s">
        <v>437</v>
      </c>
      <c r="E69" s="55" t="s">
        <v>749</v>
      </c>
      <c r="F69" s="45" t="s">
        <v>816</v>
      </c>
      <c r="G69" s="45" t="s">
        <v>466</v>
      </c>
      <c r="H69" s="47" t="s">
        <v>354</v>
      </c>
      <c r="I69" s="78">
        <v>1431000</v>
      </c>
      <c r="J69" s="434">
        <f>VLOOKUP(A69,'Escalation Factors'!$C$18:$H$31,6,FALSE)</f>
        <v>1.1541332219119997</v>
      </c>
      <c r="K69" s="47">
        <f t="shared" ref="K69:K70" si="29">I69*J69</f>
        <v>1651564.6405560717</v>
      </c>
      <c r="L69" s="47">
        <f t="shared" si="27"/>
        <v>34468.154048405217</v>
      </c>
      <c r="M69" s="47">
        <f t="shared" si="28"/>
        <v>1686032.7946044768</v>
      </c>
      <c r="N69" s="49">
        <f>1-0.47</f>
        <v>0.53</v>
      </c>
      <c r="O69" s="47">
        <f t="shared" si="15"/>
        <v>893597.38114037272</v>
      </c>
      <c r="P69" s="50">
        <f t="shared" ref="P69:P72" si="30">$P$4</f>
        <v>0.23407892834770871</v>
      </c>
      <c r="Q69" s="47">
        <f t="shared" si="16"/>
        <v>185492.43236845094</v>
      </c>
      <c r="R69" s="47">
        <f t="shared" si="17"/>
        <v>606942.98109565314</v>
      </c>
    </row>
    <row r="70" spans="1:18" s="31" customFormat="1" x14ac:dyDescent="0.2">
      <c r="A70" s="44" t="s">
        <v>281</v>
      </c>
      <c r="B70" s="44" t="s">
        <v>417</v>
      </c>
      <c r="C70" s="45" t="s">
        <v>418</v>
      </c>
      <c r="D70" s="54" t="s">
        <v>817</v>
      </c>
      <c r="E70" s="55" t="s">
        <v>747</v>
      </c>
      <c r="F70" s="45" t="s">
        <v>818</v>
      </c>
      <c r="G70" s="45" t="s">
        <v>405</v>
      </c>
      <c r="H70" s="47" t="s">
        <v>354</v>
      </c>
      <c r="I70" s="78">
        <v>200000</v>
      </c>
      <c r="J70" s="434">
        <f>VLOOKUP(A70,'Escalation Factors'!$C$18:$H$31,6,FALSE)</f>
        <v>1.1541332219119997</v>
      </c>
      <c r="K70" s="47">
        <f t="shared" si="29"/>
        <v>230826.64438239994</v>
      </c>
      <c r="L70" s="47">
        <f t="shared" si="27"/>
        <v>4817.3520682606868</v>
      </c>
      <c r="M70" s="47">
        <f t="shared" si="28"/>
        <v>235643.99645066063</v>
      </c>
      <c r="N70" s="49">
        <f>1-0.5</f>
        <v>0.5</v>
      </c>
      <c r="O70" s="47">
        <f t="shared" si="15"/>
        <v>117821.99822533032</v>
      </c>
      <c r="P70" s="50">
        <f t="shared" si="30"/>
        <v>0.23407892834770871</v>
      </c>
      <c r="Q70" s="47">
        <f t="shared" si="16"/>
        <v>27579.64708037096</v>
      </c>
      <c r="R70" s="47">
        <f t="shared" si="17"/>
        <v>90242.351144959364</v>
      </c>
    </row>
    <row r="71" spans="1:18" s="31" customFormat="1" x14ac:dyDescent="0.2">
      <c r="A71" s="44" t="s">
        <v>281</v>
      </c>
      <c r="B71" s="44" t="s">
        <v>420</v>
      </c>
      <c r="C71" s="45" t="s">
        <v>421</v>
      </c>
      <c r="D71" s="54">
        <v>3.5990000000000002</v>
      </c>
      <c r="E71" s="55" t="s">
        <v>749</v>
      </c>
      <c r="F71" s="45"/>
      <c r="G71" s="45" t="s">
        <v>405</v>
      </c>
      <c r="H71" s="47">
        <v>50000</v>
      </c>
      <c r="I71" s="47"/>
      <c r="J71" s="48">
        <f>VLOOKUP(A71,'Escalation Factors'!$C$18:$D$31,2,FALSE)</f>
        <v>1.4164097115883187</v>
      </c>
      <c r="K71" s="47">
        <f t="shared" ref="K71" si="31">H71*J71</f>
        <v>70820.485579415938</v>
      </c>
      <c r="L71" s="47">
        <f t="shared" ref="L71:L72" si="32">K71*$L$4</f>
        <v>1478.0235340424106</v>
      </c>
      <c r="M71" s="47">
        <f t="shared" ref="M71:M72" si="33">K71+L71</f>
        <v>72298.509113458349</v>
      </c>
      <c r="N71" s="49">
        <f>1-0.5</f>
        <v>0.5</v>
      </c>
      <c r="O71" s="47">
        <f t="shared" si="15"/>
        <v>36149.254556729175</v>
      </c>
      <c r="P71" s="50">
        <f t="shared" si="30"/>
        <v>0.23407892834770871</v>
      </c>
      <c r="Q71" s="47">
        <f t="shared" si="16"/>
        <v>8461.778767207692</v>
      </c>
      <c r="R71" s="47">
        <f t="shared" si="17"/>
        <v>27687.475789521483</v>
      </c>
    </row>
    <row r="72" spans="1:18" s="31" customFormat="1" x14ac:dyDescent="0.2">
      <c r="A72" s="44" t="s">
        <v>281</v>
      </c>
      <c r="B72" s="44" t="s">
        <v>401</v>
      </c>
      <c r="C72" s="45" t="s">
        <v>402</v>
      </c>
      <c r="D72" s="54">
        <v>3.379</v>
      </c>
      <c r="E72" s="55" t="s">
        <v>749</v>
      </c>
      <c r="F72" s="45" t="s">
        <v>819</v>
      </c>
      <c r="G72" s="45" t="s">
        <v>562</v>
      </c>
      <c r="H72" s="47" t="s">
        <v>354</v>
      </c>
      <c r="I72" s="78">
        <v>4750000</v>
      </c>
      <c r="J72" s="434">
        <f>VLOOKUP(A72,'Escalation Factors'!$C$18:$H$31,6,FALSE)</f>
        <v>1.1541332219119997</v>
      </c>
      <c r="K72" s="47">
        <f t="shared" ref="K72" si="34">I72*J72</f>
        <v>5482132.8040819988</v>
      </c>
      <c r="L72" s="47">
        <f t="shared" si="32"/>
        <v>114412.11162119132</v>
      </c>
      <c r="M72" s="47">
        <f t="shared" si="33"/>
        <v>5596544.9157031905</v>
      </c>
      <c r="N72" s="49">
        <f>1-0.75</f>
        <v>0.25</v>
      </c>
      <c r="O72" s="47">
        <f t="shared" si="15"/>
        <v>1399136.2289257976</v>
      </c>
      <c r="P72" s="50">
        <f t="shared" si="30"/>
        <v>0.23407892834770871</v>
      </c>
      <c r="Q72" s="47">
        <f t="shared" si="16"/>
        <v>982524.92723821534</v>
      </c>
      <c r="R72" s="47">
        <f t="shared" si="17"/>
        <v>3214883.7595391772</v>
      </c>
    </row>
    <row r="73" spans="1:18" s="58" customFormat="1" ht="15" x14ac:dyDescent="0.25">
      <c r="A73" s="57" t="s">
        <v>281</v>
      </c>
      <c r="B73" s="57"/>
      <c r="D73" s="59"/>
      <c r="G73" s="59" t="s">
        <v>351</v>
      </c>
      <c r="H73" s="60">
        <f>SUBTOTAL(9,H55:H72)</f>
        <v>6237000</v>
      </c>
      <c r="I73" s="60"/>
      <c r="J73" s="60"/>
      <c r="K73" s="60">
        <f>SUBTOTAL(9,K55:K72)</f>
        <v>662676028.13547075</v>
      </c>
      <c r="L73" s="60">
        <f>SUBTOTAL(9,L55:L72)</f>
        <v>13830048.707187282</v>
      </c>
      <c r="M73" s="60">
        <f>SUBTOTAL(9,M55:M72)</f>
        <v>676506076.84265816</v>
      </c>
      <c r="N73" s="60"/>
      <c r="O73" s="60">
        <f>SUBTOTAL(9,O55:O72)</f>
        <v>553354872.16261351</v>
      </c>
      <c r="P73" s="61"/>
      <c r="Q73" s="60">
        <f>SUBTOTAL(9,Q55:Q72)</f>
        <v>28827102.0162342</v>
      </c>
      <c r="R73" s="60">
        <f>SUBTOTAL(9,R55:R72)</f>
        <v>94324102.663810521</v>
      </c>
    </row>
    <row r="74" spans="1:18" s="31" customFormat="1" x14ac:dyDescent="0.2">
      <c r="A74" s="44" t="s">
        <v>282</v>
      </c>
      <c r="B74" s="44" t="s">
        <v>760</v>
      </c>
      <c r="C74" s="45" t="s">
        <v>779</v>
      </c>
      <c r="D74" s="54" t="s">
        <v>354</v>
      </c>
      <c r="E74" s="55" t="s">
        <v>749</v>
      </c>
      <c r="F74"/>
      <c r="G74" s="45" t="s">
        <v>405</v>
      </c>
      <c r="H74" s="73" t="s">
        <v>354</v>
      </c>
      <c r="I74" s="78">
        <v>3000000</v>
      </c>
      <c r="J74" s="434">
        <f>VLOOKUP(A74,'Escalation Factors'!$C$18:$H$31,6,FALSE)</f>
        <v>1.4602074832540217</v>
      </c>
      <c r="K74" s="47">
        <f t="shared" ref="K74:K79" si="35">I74*J74</f>
        <v>4380622.449762065</v>
      </c>
      <c r="L74" s="47">
        <f t="shared" ref="L74:L79" si="36">K74*$L$4</f>
        <v>91423.590526534288</v>
      </c>
      <c r="M74" s="47">
        <f t="shared" ref="M74:M79" si="37">K74+L74</f>
        <v>4472046.0402885992</v>
      </c>
      <c r="N74" s="49">
        <f>1-0.17</f>
        <v>0.83</v>
      </c>
      <c r="O74" s="47">
        <f t="shared" ref="O74:O93" si="38">M74*N74</f>
        <v>3711798.2134395372</v>
      </c>
      <c r="P74" s="50">
        <f>$P$4</f>
        <v>0.23407892834770871</v>
      </c>
      <c r="Q74" s="47">
        <f t="shared" ref="Q74:Q93" si="39">(M74-O74)*P74</f>
        <v>177957.99658750286</v>
      </c>
      <c r="R74" s="47">
        <f t="shared" ref="R74:R93" si="40">M74-O74-Q74</f>
        <v>582289.83026155911</v>
      </c>
    </row>
    <row r="75" spans="1:18" s="31" customFormat="1" x14ac:dyDescent="0.2">
      <c r="A75" s="44" t="s">
        <v>282</v>
      </c>
      <c r="B75" s="44" t="s">
        <v>760</v>
      </c>
      <c r="C75" s="45" t="s">
        <v>820</v>
      </c>
      <c r="D75" s="54" t="s">
        <v>821</v>
      </c>
      <c r="E75" s="55" t="s">
        <v>747</v>
      </c>
      <c r="F75" t="s">
        <v>822</v>
      </c>
      <c r="G75" s="45" t="s">
        <v>466</v>
      </c>
      <c r="H75" s="73" t="s">
        <v>354</v>
      </c>
      <c r="I75" s="78">
        <v>37981000</v>
      </c>
      <c r="J75" s="434">
        <f>VLOOKUP(A75,'Escalation Factors'!$C$18:$H$31,6,FALSE)</f>
        <v>1.4602074832540217</v>
      </c>
      <c r="K75" s="47">
        <f t="shared" si="35"/>
        <v>55460140.421471</v>
      </c>
      <c r="L75" s="47">
        <f t="shared" si="36"/>
        <v>1157453.1305960997</v>
      </c>
      <c r="M75" s="47">
        <f t="shared" si="37"/>
        <v>56617593.552067101</v>
      </c>
      <c r="N75" s="49">
        <f>1-0.17</f>
        <v>0.83</v>
      </c>
      <c r="O75" s="47">
        <f t="shared" si="38"/>
        <v>46992602.648215689</v>
      </c>
      <c r="P75" s="50">
        <f t="shared" ref="P75:P77" si="41">$P$4</f>
        <v>0.23407892834770871</v>
      </c>
      <c r="Q75" s="47">
        <f t="shared" si="39"/>
        <v>2253007.5561299827</v>
      </c>
      <c r="R75" s="47">
        <f t="shared" si="40"/>
        <v>7371983.3477214295</v>
      </c>
    </row>
    <row r="76" spans="1:18" s="31" customFormat="1" x14ac:dyDescent="0.2">
      <c r="A76" s="44" t="s">
        <v>282</v>
      </c>
      <c r="B76" s="44" t="s">
        <v>760</v>
      </c>
      <c r="C76" s="45" t="s">
        <v>823</v>
      </c>
      <c r="D76" s="54" t="s">
        <v>824</v>
      </c>
      <c r="E76" s="55" t="s">
        <v>747</v>
      </c>
      <c r="F76" t="s">
        <v>825</v>
      </c>
      <c r="G76" s="45" t="s">
        <v>466</v>
      </c>
      <c r="H76" s="73" t="s">
        <v>354</v>
      </c>
      <c r="I76" s="78">
        <v>54043000</v>
      </c>
      <c r="J76" s="434">
        <f>VLOOKUP(A76,'Escalation Factors'!$C$18:$H$31,6,FALSE)</f>
        <v>1.4602074832540217</v>
      </c>
      <c r="K76" s="47">
        <f t="shared" si="35"/>
        <v>78913993.017497092</v>
      </c>
      <c r="L76" s="47">
        <f t="shared" si="36"/>
        <v>1646935.0342751644</v>
      </c>
      <c r="M76" s="47">
        <f t="shared" si="37"/>
        <v>80560928.051772252</v>
      </c>
      <c r="N76" s="49">
        <f>1-0.17</f>
        <v>0.83</v>
      </c>
      <c r="O76" s="47">
        <f t="shared" si="38"/>
        <v>66865570.282970965</v>
      </c>
      <c r="P76" s="50">
        <f t="shared" si="41"/>
        <v>0.23407892834770871</v>
      </c>
      <c r="Q76" s="47">
        <f t="shared" si="39"/>
        <v>3205794.6698594722</v>
      </c>
      <c r="R76" s="47">
        <f t="shared" si="40"/>
        <v>10489563.098941814</v>
      </c>
    </row>
    <row r="77" spans="1:18" s="31" customFormat="1" x14ac:dyDescent="0.2">
      <c r="A77" s="44" t="s">
        <v>282</v>
      </c>
      <c r="B77" s="44" t="s">
        <v>760</v>
      </c>
      <c r="C77" s="45" t="s">
        <v>826</v>
      </c>
      <c r="D77" s="54" t="s">
        <v>827</v>
      </c>
      <c r="E77" s="55" t="s">
        <v>747</v>
      </c>
      <c r="F77" t="s">
        <v>828</v>
      </c>
      <c r="G77" s="45" t="s">
        <v>370</v>
      </c>
      <c r="H77" s="73" t="s">
        <v>354</v>
      </c>
      <c r="I77" s="78">
        <v>43868000</v>
      </c>
      <c r="J77" s="434">
        <f>VLOOKUP(A77,'Escalation Factors'!$C$18:$H$31,6,FALSE)</f>
        <v>1.4602074832540217</v>
      </c>
      <c r="K77" s="47">
        <f t="shared" si="35"/>
        <v>64056381.875387423</v>
      </c>
      <c r="L77" s="47">
        <f t="shared" si="36"/>
        <v>1336856.6897393356</v>
      </c>
      <c r="M77" s="47">
        <f t="shared" si="37"/>
        <v>65393238.565126762</v>
      </c>
      <c r="N77" s="49">
        <f>1-0.2</f>
        <v>0.8</v>
      </c>
      <c r="O77" s="47">
        <f t="shared" si="38"/>
        <v>52314590.852101415</v>
      </c>
      <c r="P77" s="50">
        <f t="shared" si="41"/>
        <v>0.23407892834770871</v>
      </c>
      <c r="Q77" s="47">
        <f t="shared" si="39"/>
        <v>3061435.8409021846</v>
      </c>
      <c r="R77" s="47">
        <f t="shared" si="40"/>
        <v>10017211.872123161</v>
      </c>
    </row>
    <row r="78" spans="1:18" s="31" customFormat="1" x14ac:dyDescent="0.2">
      <c r="A78" s="44" t="s">
        <v>282</v>
      </c>
      <c r="B78" s="44" t="s">
        <v>457</v>
      </c>
      <c r="C78" s="45" t="s">
        <v>458</v>
      </c>
      <c r="D78" s="54" t="s">
        <v>459</v>
      </c>
      <c r="E78" s="55" t="s">
        <v>749</v>
      </c>
      <c r="F78"/>
      <c r="G78" s="45" t="s">
        <v>360</v>
      </c>
      <c r="H78" s="73" t="s">
        <v>354</v>
      </c>
      <c r="I78" s="78">
        <v>2250000</v>
      </c>
      <c r="J78" s="434">
        <f>VLOOKUP(A78,'Escalation Factors'!$C$18:$H$31,6,FALSE)</f>
        <v>1.4602074832540217</v>
      </c>
      <c r="K78" s="47">
        <f t="shared" si="35"/>
        <v>3285466.8373215487</v>
      </c>
      <c r="L78" s="47">
        <f t="shared" si="36"/>
        <v>68567.692894900727</v>
      </c>
      <c r="M78" s="47">
        <f t="shared" si="37"/>
        <v>3354034.5302164494</v>
      </c>
      <c r="N78" s="49">
        <v>1</v>
      </c>
      <c r="O78" s="47">
        <f t="shared" si="38"/>
        <v>3354034.5302164494</v>
      </c>
      <c r="P78" s="72">
        <v>0</v>
      </c>
      <c r="Q78" s="47">
        <f t="shared" si="39"/>
        <v>0</v>
      </c>
      <c r="R78" s="47">
        <f t="shared" si="40"/>
        <v>0</v>
      </c>
    </row>
    <row r="79" spans="1:18" s="31" customFormat="1" x14ac:dyDescent="0.2">
      <c r="A79" s="44" t="s">
        <v>282</v>
      </c>
      <c r="B79" s="44" t="s">
        <v>460</v>
      </c>
      <c r="C79" s="45" t="s">
        <v>461</v>
      </c>
      <c r="D79" s="54" t="s">
        <v>462</v>
      </c>
      <c r="E79" s="55" t="s">
        <v>749</v>
      </c>
      <c r="F79" s="45" t="s">
        <v>829</v>
      </c>
      <c r="G79" s="45" t="s">
        <v>360</v>
      </c>
      <c r="H79" s="73" t="s">
        <v>354</v>
      </c>
      <c r="I79" s="78">
        <v>280000</v>
      </c>
      <c r="J79" s="434">
        <f>VLOOKUP(A79,'Escalation Factors'!$C$18:$H$31,6,FALSE)</f>
        <v>1.4602074832540217</v>
      </c>
      <c r="K79" s="47">
        <f t="shared" si="35"/>
        <v>408858.09531112609</v>
      </c>
      <c r="L79" s="47">
        <f t="shared" si="36"/>
        <v>8532.8684491432014</v>
      </c>
      <c r="M79" s="47">
        <f t="shared" si="37"/>
        <v>417390.96376026928</v>
      </c>
      <c r="N79" s="49">
        <v>1</v>
      </c>
      <c r="O79" s="47">
        <f t="shared" si="38"/>
        <v>417390.96376026928</v>
      </c>
      <c r="P79" s="72">
        <v>0</v>
      </c>
      <c r="Q79" s="47">
        <f t="shared" si="39"/>
        <v>0</v>
      </c>
      <c r="R79" s="47">
        <f t="shared" si="40"/>
        <v>0</v>
      </c>
    </row>
    <row r="80" spans="1:18" s="31" customFormat="1" x14ac:dyDescent="0.2">
      <c r="A80" s="44" t="s">
        <v>282</v>
      </c>
      <c r="B80" s="44" t="s">
        <v>408</v>
      </c>
      <c r="C80" s="45" t="s">
        <v>409</v>
      </c>
      <c r="D80" s="54" t="s">
        <v>465</v>
      </c>
      <c r="E80" s="55" t="s">
        <v>749</v>
      </c>
      <c r="F80" s="45" t="s">
        <v>829</v>
      </c>
      <c r="G80" s="45" t="s">
        <v>360</v>
      </c>
      <c r="H80" s="47">
        <v>3585000</v>
      </c>
      <c r="I80" s="47"/>
      <c r="J80" s="48">
        <f>VLOOKUP(A80,'Escalation Factors'!$C$18:$D$31,2,FALSE)</f>
        <v>1.7920392732379322</v>
      </c>
      <c r="K80" s="47">
        <f>H80*J80</f>
        <v>6424460.7945579868</v>
      </c>
      <c r="L80" s="47">
        <f>K80*$L$4</f>
        <v>134078.49678242518</v>
      </c>
      <c r="M80" s="47">
        <f>K80+L80</f>
        <v>6558539.2913404116</v>
      </c>
      <c r="N80" s="49">
        <v>1</v>
      </c>
      <c r="O80" s="47">
        <f t="shared" si="38"/>
        <v>6558539.2913404116</v>
      </c>
      <c r="P80" s="72">
        <v>0</v>
      </c>
      <c r="Q80" s="47">
        <f t="shared" si="39"/>
        <v>0</v>
      </c>
      <c r="R80" s="47">
        <f t="shared" si="40"/>
        <v>0</v>
      </c>
    </row>
    <row r="81" spans="1:18" s="31" customFormat="1" x14ac:dyDescent="0.2">
      <c r="A81" s="44" t="s">
        <v>282</v>
      </c>
      <c r="B81" s="44" t="s">
        <v>756</v>
      </c>
      <c r="C81" s="45" t="s">
        <v>385</v>
      </c>
      <c r="D81" s="54">
        <v>3.7519999999999998</v>
      </c>
      <c r="E81" s="55" t="s">
        <v>749</v>
      </c>
      <c r="F81" s="45" t="s">
        <v>830</v>
      </c>
      <c r="G81" s="45" t="s">
        <v>360</v>
      </c>
      <c r="H81" s="47" t="s">
        <v>354</v>
      </c>
      <c r="I81" s="78">
        <v>8910000</v>
      </c>
      <c r="J81" s="434">
        <f>VLOOKUP(A81,'Escalation Factors'!$C$18:$H$31,6,FALSE)</f>
        <v>1.4602074832540217</v>
      </c>
      <c r="K81" s="47">
        <f t="shared" ref="K81:K85" si="42">I81*J81</f>
        <v>13010448.675793333</v>
      </c>
      <c r="L81" s="47">
        <f t="shared" ref="L81:L85" si="43">K81*$L$4</f>
        <v>271528.06386380683</v>
      </c>
      <c r="M81" s="47">
        <f t="shared" ref="M81:M85" si="44">K81+L81</f>
        <v>13281976.739657139</v>
      </c>
      <c r="N81" s="49">
        <f>1-0.75</f>
        <v>0.25</v>
      </c>
      <c r="O81" s="47">
        <f t="shared" si="38"/>
        <v>3320494.1849142849</v>
      </c>
      <c r="P81" s="50">
        <f>$P$4</f>
        <v>0.23407892834770871</v>
      </c>
      <c r="Q81" s="47">
        <f t="shared" si="39"/>
        <v>2331773.1611686028</v>
      </c>
      <c r="R81" s="47">
        <f t="shared" si="40"/>
        <v>7629709.3935742509</v>
      </c>
    </row>
    <row r="82" spans="1:18" s="31" customFormat="1" x14ac:dyDescent="0.2">
      <c r="A82" s="44" t="s">
        <v>282</v>
      </c>
      <c r="B82" s="44" t="s">
        <v>430</v>
      </c>
      <c r="C82" s="45" t="s">
        <v>431</v>
      </c>
      <c r="D82" s="54">
        <v>3.556</v>
      </c>
      <c r="E82" s="55" t="s">
        <v>749</v>
      </c>
      <c r="F82" s="45" t="s">
        <v>831</v>
      </c>
      <c r="G82" s="45" t="s">
        <v>360</v>
      </c>
      <c r="H82" s="47" t="s">
        <v>354</v>
      </c>
      <c r="I82" s="78">
        <v>1160000</v>
      </c>
      <c r="J82" s="434">
        <f>VLOOKUP(A82,'Escalation Factors'!$C$18:$H$31,6,FALSE)</f>
        <v>1.4602074832540217</v>
      </c>
      <c r="K82" s="47">
        <f t="shared" si="42"/>
        <v>1693840.6805746653</v>
      </c>
      <c r="L82" s="47">
        <f t="shared" si="43"/>
        <v>35350.455003593263</v>
      </c>
      <c r="M82" s="47">
        <f t="shared" si="44"/>
        <v>1729191.1355782587</v>
      </c>
      <c r="N82" s="49">
        <f>1-0.75</f>
        <v>0.25</v>
      </c>
      <c r="O82" s="47">
        <f t="shared" si="38"/>
        <v>432297.78389456467</v>
      </c>
      <c r="P82" s="50">
        <f t="shared" ref="P82:P86" si="45">$P$4</f>
        <v>0.23407892834770871</v>
      </c>
      <c r="Q82" s="47">
        <f t="shared" si="39"/>
        <v>303575.40594338719</v>
      </c>
      <c r="R82" s="47">
        <f t="shared" si="40"/>
        <v>993317.94574030675</v>
      </c>
    </row>
    <row r="83" spans="1:18" s="31" customFormat="1" x14ac:dyDescent="0.2">
      <c r="A83" s="44" t="s">
        <v>282</v>
      </c>
      <c r="B83" s="44" t="s">
        <v>434</v>
      </c>
      <c r="C83" s="45" t="s">
        <v>435</v>
      </c>
      <c r="D83" s="54">
        <v>3.5590000000000002</v>
      </c>
      <c r="E83" s="55" t="s">
        <v>749</v>
      </c>
      <c r="F83" s="45" t="s">
        <v>832</v>
      </c>
      <c r="G83" s="45" t="s">
        <v>360</v>
      </c>
      <c r="H83" s="47" t="s">
        <v>354</v>
      </c>
      <c r="I83" s="78">
        <v>24981000</v>
      </c>
      <c r="J83" s="434">
        <f>VLOOKUP(A83,'Escalation Factors'!$C$18:$H$31,6,FALSE)</f>
        <v>1.4602074832540217</v>
      </c>
      <c r="K83" s="47">
        <f t="shared" si="42"/>
        <v>36477443.139168717</v>
      </c>
      <c r="L83" s="47">
        <f t="shared" si="43"/>
        <v>761284.23831445107</v>
      </c>
      <c r="M83" s="47">
        <f t="shared" si="44"/>
        <v>37238727.377483167</v>
      </c>
      <c r="N83" s="49">
        <v>0</v>
      </c>
      <c r="O83" s="47">
        <f t="shared" si="38"/>
        <v>0</v>
      </c>
      <c r="P83" s="50">
        <f t="shared" si="45"/>
        <v>0.23407892834770871</v>
      </c>
      <c r="Q83" s="47">
        <f t="shared" si="39"/>
        <v>8716801.3975537419</v>
      </c>
      <c r="R83" s="47">
        <f t="shared" si="40"/>
        <v>28521925.979929425</v>
      </c>
    </row>
    <row r="84" spans="1:18" s="31" customFormat="1" x14ac:dyDescent="0.2">
      <c r="A84" s="44"/>
      <c r="B84" s="44"/>
      <c r="C84" s="45"/>
      <c r="D84" s="54"/>
      <c r="E84" s="55"/>
      <c r="F84" s="45"/>
      <c r="G84" s="45"/>
      <c r="H84" s="47"/>
      <c r="I84" s="78"/>
      <c r="J84" s="434"/>
      <c r="K84" s="47"/>
      <c r="L84" s="47"/>
      <c r="M84" s="47"/>
      <c r="N84" s="49"/>
      <c r="O84" s="47"/>
      <c r="P84" s="50"/>
      <c r="Q84" s="47"/>
      <c r="R84" s="47"/>
    </row>
    <row r="85" spans="1:18" s="31" customFormat="1" x14ac:dyDescent="0.2">
      <c r="A85" s="44" t="s">
        <v>282</v>
      </c>
      <c r="B85" s="44" t="s">
        <v>445</v>
      </c>
      <c r="C85" s="45" t="s">
        <v>446</v>
      </c>
      <c r="D85" s="54">
        <v>3.5720000000000001</v>
      </c>
      <c r="E85" s="55" t="s">
        <v>749</v>
      </c>
      <c r="F85" s="45"/>
      <c r="G85" s="45" t="s">
        <v>360</v>
      </c>
      <c r="H85" s="47" t="s">
        <v>354</v>
      </c>
      <c r="I85" s="78">
        <v>4960000</v>
      </c>
      <c r="J85" s="434">
        <f>VLOOKUP(A85,'Escalation Factors'!$C$18:$H$31,6,FALSE)</f>
        <v>1.4602074832540217</v>
      </c>
      <c r="K85" s="47">
        <f t="shared" si="42"/>
        <v>7242629.1169399479</v>
      </c>
      <c r="L85" s="47">
        <f t="shared" si="43"/>
        <v>151153.66967053671</v>
      </c>
      <c r="M85" s="47">
        <f t="shared" si="44"/>
        <v>7393782.7866104851</v>
      </c>
      <c r="N85" s="49">
        <v>0</v>
      </c>
      <c r="O85" s="47">
        <f t="shared" si="38"/>
        <v>0</v>
      </c>
      <c r="P85" s="50">
        <f t="shared" si="45"/>
        <v>0.23407892834770871</v>
      </c>
      <c r="Q85" s="47">
        <f t="shared" si="39"/>
        <v>1730728.7511255178</v>
      </c>
      <c r="R85" s="47">
        <f t="shared" si="40"/>
        <v>5663054.0354849678</v>
      </c>
    </row>
    <row r="86" spans="1:18" s="31" customFormat="1" x14ac:dyDescent="0.2">
      <c r="A86" s="44" t="s">
        <v>282</v>
      </c>
      <c r="B86" s="44" t="s">
        <v>447</v>
      </c>
      <c r="C86" s="45" t="s">
        <v>448</v>
      </c>
      <c r="D86" s="54">
        <v>3.5830000000000002</v>
      </c>
      <c r="E86" s="55" t="s">
        <v>749</v>
      </c>
      <c r="F86" s="45"/>
      <c r="G86" s="45" t="s">
        <v>360</v>
      </c>
      <c r="H86" s="47">
        <v>839000</v>
      </c>
      <c r="I86" s="47"/>
      <c r="J86" s="48">
        <f>VLOOKUP(A86,'Escalation Factors'!$C$18:$D$31,2,FALSE)</f>
        <v>1.7920392732379322</v>
      </c>
      <c r="K86" s="47">
        <f>H86*J86</f>
        <v>1503520.9502466251</v>
      </c>
      <c r="L86" s="47">
        <f>K86*$L$4</f>
        <v>31378.482231647067</v>
      </c>
      <c r="M86" s="47">
        <f>K86+L86</f>
        <v>1534899.4324782721</v>
      </c>
      <c r="N86" s="49">
        <v>0</v>
      </c>
      <c r="O86" s="47">
        <f t="shared" si="38"/>
        <v>0</v>
      </c>
      <c r="P86" s="50">
        <f t="shared" si="45"/>
        <v>0.23407892834770871</v>
      </c>
      <c r="Q86" s="47">
        <f t="shared" si="39"/>
        <v>359287.61427602021</v>
      </c>
      <c r="R86" s="47">
        <f t="shared" si="40"/>
        <v>1175611.818202252</v>
      </c>
    </row>
    <row r="87" spans="1:18" s="31" customFormat="1" x14ac:dyDescent="0.2">
      <c r="A87" s="44" t="s">
        <v>282</v>
      </c>
      <c r="B87" s="44" t="s">
        <v>449</v>
      </c>
      <c r="C87" s="45" t="s">
        <v>450</v>
      </c>
      <c r="D87" s="54">
        <v>3.528</v>
      </c>
      <c r="E87" s="55" t="s">
        <v>749</v>
      </c>
      <c r="F87" s="45" t="s">
        <v>833</v>
      </c>
      <c r="G87" s="45" t="s">
        <v>360</v>
      </c>
      <c r="H87" s="47">
        <v>100000</v>
      </c>
      <c r="I87" s="47"/>
      <c r="J87" s="48">
        <f>VLOOKUP(A87,'Escalation Factors'!$C$18:$D$31,2,FALSE)</f>
        <v>1.7920392732379322</v>
      </c>
      <c r="K87" s="47">
        <f>H87*J87</f>
        <v>179203.92732379324</v>
      </c>
      <c r="L87" s="47">
        <f>K87*$L$4</f>
        <v>3739.9859632475645</v>
      </c>
      <c r="M87" s="47">
        <f>K87+L87</f>
        <v>182943.91328704081</v>
      </c>
      <c r="N87" s="49">
        <v>1</v>
      </c>
      <c r="O87" s="47">
        <f t="shared" si="38"/>
        <v>182943.91328704081</v>
      </c>
      <c r="P87" s="72">
        <v>0</v>
      </c>
      <c r="Q87" s="47">
        <f t="shared" si="39"/>
        <v>0</v>
      </c>
      <c r="R87" s="47">
        <f t="shared" si="40"/>
        <v>0</v>
      </c>
    </row>
    <row r="88" spans="1:18" s="31" customFormat="1" x14ac:dyDescent="0.2">
      <c r="A88" s="44" t="s">
        <v>282</v>
      </c>
      <c r="B88" s="44" t="s">
        <v>451</v>
      </c>
      <c r="C88" s="45" t="s">
        <v>452</v>
      </c>
      <c r="D88" s="54" t="s">
        <v>354</v>
      </c>
      <c r="E88" s="55" t="s">
        <v>749</v>
      </c>
      <c r="F88" s="45"/>
      <c r="G88" s="45" t="s">
        <v>360</v>
      </c>
      <c r="H88" s="47">
        <v>420000</v>
      </c>
      <c r="I88" s="47"/>
      <c r="J88" s="48">
        <f>VLOOKUP(A88,'Escalation Factors'!$C$18:$D$31,2,FALSE)</f>
        <v>1.7920392732379322</v>
      </c>
      <c r="K88" s="47">
        <f>H88*J88</f>
        <v>752656.49475993158</v>
      </c>
      <c r="L88" s="47">
        <f>K88*$L$4</f>
        <v>15707.941045639771</v>
      </c>
      <c r="M88" s="47">
        <f>K88+L88</f>
        <v>768364.43580557138</v>
      </c>
      <c r="N88" s="49">
        <v>0</v>
      </c>
      <c r="O88" s="47">
        <f t="shared" si="38"/>
        <v>0</v>
      </c>
      <c r="P88" s="50">
        <f>$P$4</f>
        <v>0.23407892834770871</v>
      </c>
      <c r="Q88" s="47">
        <f t="shared" si="39"/>
        <v>179857.92371385999</v>
      </c>
      <c r="R88" s="47">
        <f t="shared" si="40"/>
        <v>588506.5120917114</v>
      </c>
    </row>
    <row r="89" spans="1:18" s="31" customFormat="1" x14ac:dyDescent="0.2">
      <c r="A89" s="44" t="s">
        <v>282</v>
      </c>
      <c r="B89" s="44" t="s">
        <v>834</v>
      </c>
      <c r="C89" s="45" t="s">
        <v>479</v>
      </c>
      <c r="D89" s="54">
        <v>3.4359999999999999</v>
      </c>
      <c r="E89" s="55" t="s">
        <v>747</v>
      </c>
      <c r="F89" s="45" t="s">
        <v>835</v>
      </c>
      <c r="G89" s="45" t="s">
        <v>466</v>
      </c>
      <c r="H89" s="73" t="s">
        <v>354</v>
      </c>
      <c r="I89" s="78">
        <v>96000000</v>
      </c>
      <c r="J89" s="434">
        <f>VLOOKUP(A89,'Escalation Factors'!$C$18:$H$31,6,FALSE)</f>
        <v>1.4602074832540217</v>
      </c>
      <c r="K89" s="47">
        <f t="shared" ref="K89:K93" si="46">I89*J89</f>
        <v>140179918.39238608</v>
      </c>
      <c r="L89" s="47">
        <f t="shared" ref="L89:L93" si="47">K89*$L$4</f>
        <v>2925554.8968490972</v>
      </c>
      <c r="M89" s="47">
        <f t="shared" ref="M89:M93" si="48">K89+L89</f>
        <v>143105473.28923517</v>
      </c>
      <c r="N89" s="49">
        <f>100%-36.9%</f>
        <v>0.63100000000000001</v>
      </c>
      <c r="O89" s="47">
        <f t="shared" si="38"/>
        <v>90299553.645507395</v>
      </c>
      <c r="P89" s="50">
        <f>$P$4</f>
        <v>0.23407892834770871</v>
      </c>
      <c r="Q89" s="47">
        <f t="shared" si="39"/>
        <v>12360753.080619019</v>
      </c>
      <c r="R89" s="47">
        <f t="shared" si="40"/>
        <v>40445166.563108757</v>
      </c>
    </row>
    <row r="90" spans="1:18" s="31" customFormat="1" x14ac:dyDescent="0.2">
      <c r="A90" s="44" t="s">
        <v>282</v>
      </c>
      <c r="B90" s="44" t="s">
        <v>391</v>
      </c>
      <c r="C90" s="45" t="s">
        <v>836</v>
      </c>
      <c r="D90" s="54">
        <v>3.5670000000000002</v>
      </c>
      <c r="E90" s="55" t="s">
        <v>747</v>
      </c>
      <c r="F90" s="45" t="s">
        <v>837</v>
      </c>
      <c r="G90" s="45" t="s">
        <v>370</v>
      </c>
      <c r="H90" s="73" t="s">
        <v>354</v>
      </c>
      <c r="I90" s="78">
        <v>6510000</v>
      </c>
      <c r="J90" s="434">
        <f>VLOOKUP(A90,'Escalation Factors'!$C$18:$H$31,6,FALSE)</f>
        <v>1.4602074832540217</v>
      </c>
      <c r="K90" s="47">
        <f t="shared" si="46"/>
        <v>9505950.7159836814</v>
      </c>
      <c r="L90" s="47">
        <f t="shared" si="47"/>
        <v>198389.19144257944</v>
      </c>
      <c r="M90" s="47">
        <f t="shared" si="48"/>
        <v>9704339.9074262604</v>
      </c>
      <c r="N90" s="49">
        <f>1-0.05</f>
        <v>0.95</v>
      </c>
      <c r="O90" s="47">
        <f t="shared" si="38"/>
        <v>9219122.9120549466</v>
      </c>
      <c r="P90" s="50">
        <f>$P$4</f>
        <v>0.23407892834770871</v>
      </c>
      <c r="Q90" s="47">
        <f t="shared" si="39"/>
        <v>113579.07429261226</v>
      </c>
      <c r="R90" s="47">
        <f t="shared" si="40"/>
        <v>371637.9210787015</v>
      </c>
    </row>
    <row r="91" spans="1:18" s="31" customFormat="1" x14ac:dyDescent="0.2">
      <c r="A91" s="44" t="s">
        <v>282</v>
      </c>
      <c r="B91" s="44" t="s">
        <v>392</v>
      </c>
      <c r="C91" s="45" t="s">
        <v>393</v>
      </c>
      <c r="D91" s="54" t="s">
        <v>394</v>
      </c>
      <c r="E91" s="55" t="s">
        <v>747</v>
      </c>
      <c r="F91" s="45"/>
      <c r="G91" s="45" t="s">
        <v>370</v>
      </c>
      <c r="H91" s="73" t="s">
        <v>354</v>
      </c>
      <c r="I91" s="78">
        <v>7800000</v>
      </c>
      <c r="J91" s="434">
        <f>VLOOKUP(A91,'Escalation Factors'!$C$18:$H$31,6,FALSE)</f>
        <v>1.4602074832540217</v>
      </c>
      <c r="K91" s="47">
        <f t="shared" si="46"/>
        <v>11389618.36938137</v>
      </c>
      <c r="L91" s="47">
        <f t="shared" si="47"/>
        <v>237701.33536898918</v>
      </c>
      <c r="M91" s="47">
        <f t="shared" si="48"/>
        <v>11627319.704750359</v>
      </c>
      <c r="N91" s="49">
        <f>1-0.05</f>
        <v>0.95</v>
      </c>
      <c r="O91" s="47">
        <f t="shared" si="38"/>
        <v>11045953.719512841</v>
      </c>
      <c r="P91" s="50">
        <f t="shared" ref="P91:P93" si="49">$P$4</f>
        <v>0.23407892834770871</v>
      </c>
      <c r="Q91" s="47">
        <f t="shared" si="39"/>
        <v>136085.52680220813</v>
      </c>
      <c r="R91" s="47">
        <f t="shared" si="40"/>
        <v>445280.45843531017</v>
      </c>
    </row>
    <row r="92" spans="1:18" s="31" customFormat="1" x14ac:dyDescent="0.2">
      <c r="A92" s="44" t="s">
        <v>282</v>
      </c>
      <c r="B92" s="44" t="s">
        <v>455</v>
      </c>
      <c r="C92" s="45" t="s">
        <v>456</v>
      </c>
      <c r="D92" s="54">
        <v>3.7730000000000001</v>
      </c>
      <c r="E92" s="55" t="s">
        <v>749</v>
      </c>
      <c r="F92" s="45"/>
      <c r="G92" s="45" t="s">
        <v>370</v>
      </c>
      <c r="H92" s="73" t="s">
        <v>354</v>
      </c>
      <c r="I92" s="78">
        <v>21725000</v>
      </c>
      <c r="J92" s="434">
        <f>VLOOKUP(A92,'Escalation Factors'!$C$18:$H$31,6,FALSE)</f>
        <v>1.4602074832540217</v>
      </c>
      <c r="K92" s="47">
        <f t="shared" si="46"/>
        <v>31723007.573693622</v>
      </c>
      <c r="L92" s="47">
        <f t="shared" si="47"/>
        <v>662059.16806298587</v>
      </c>
      <c r="M92" s="47">
        <f t="shared" si="48"/>
        <v>32385066.741756607</v>
      </c>
      <c r="N92" s="49">
        <f>1-0.75</f>
        <v>0.25</v>
      </c>
      <c r="O92" s="47">
        <f t="shared" si="38"/>
        <v>8096266.6854391517</v>
      </c>
      <c r="P92" s="50">
        <f t="shared" si="49"/>
        <v>0.23407892834770871</v>
      </c>
      <c r="Q92" s="47">
        <f t="shared" si="39"/>
        <v>5685496.2880345574</v>
      </c>
      <c r="R92" s="47">
        <f t="shared" si="40"/>
        <v>18603303.768282898</v>
      </c>
    </row>
    <row r="93" spans="1:18" s="31" customFormat="1" x14ac:dyDescent="0.2">
      <c r="A93" s="44" t="s">
        <v>282</v>
      </c>
      <c r="B93" s="44" t="s">
        <v>443</v>
      </c>
      <c r="C93" s="45" t="s">
        <v>444</v>
      </c>
      <c r="D93" s="54">
        <v>3.6789999999999998</v>
      </c>
      <c r="E93" s="55" t="s">
        <v>749</v>
      </c>
      <c r="F93" s="45" t="s">
        <v>838</v>
      </c>
      <c r="G93" s="45" t="s">
        <v>360</v>
      </c>
      <c r="H93" s="73" t="s">
        <v>354</v>
      </c>
      <c r="I93" s="78">
        <v>26780000</v>
      </c>
      <c r="J93" s="434">
        <f>VLOOKUP(A93,'Escalation Factors'!$C$18:$H$31,6,FALSE)</f>
        <v>1.4602074832540217</v>
      </c>
      <c r="K93" s="47">
        <f t="shared" si="46"/>
        <v>39104356.401542701</v>
      </c>
      <c r="L93" s="47">
        <f t="shared" si="47"/>
        <v>816107.91810019617</v>
      </c>
      <c r="M93" s="47">
        <f t="shared" si="48"/>
        <v>39920464.319642894</v>
      </c>
      <c r="N93" s="49">
        <f>1-0.74</f>
        <v>0.26</v>
      </c>
      <c r="O93" s="47">
        <f t="shared" si="38"/>
        <v>10379320.723107154</v>
      </c>
      <c r="P93" s="50">
        <f t="shared" si="49"/>
        <v>0.23407892834770871</v>
      </c>
      <c r="Q93" s="47">
        <f t="shared" si="39"/>
        <v>6914959.2352428641</v>
      </c>
      <c r="R93" s="47">
        <f t="shared" si="40"/>
        <v>22626184.361292876</v>
      </c>
    </row>
    <row r="94" spans="1:18" s="58" customFormat="1" ht="15" x14ac:dyDescent="0.25">
      <c r="A94" s="57" t="s">
        <v>282</v>
      </c>
      <c r="B94" s="57"/>
      <c r="D94" s="59"/>
      <c r="G94" s="59" t="s">
        <v>351</v>
      </c>
      <c r="H94" s="60">
        <f>SUBTOTAL(9,H74:H93)</f>
        <v>4944000</v>
      </c>
      <c r="I94" s="60">
        <f>SUBTOTAL(9,I74:I93)</f>
        <v>340248000</v>
      </c>
      <c r="J94" s="60"/>
      <c r="K94" s="60">
        <f>SUBTOTAL(9,K74:K93)</f>
        <v>505692517.92910278</v>
      </c>
      <c r="L94" s="60">
        <f>SUBTOTAL(9,L74:L93)</f>
        <v>10553802.849180374</v>
      </c>
      <c r="M94" s="60">
        <f>SUBTOTAL(9,M74:M93)</f>
        <v>516246320.77828306</v>
      </c>
      <c r="N94" s="60"/>
      <c r="O94" s="60">
        <f>SUBTOTAL(9,O74:O93)</f>
        <v>313190480.34976214</v>
      </c>
      <c r="P94" s="61"/>
      <c r="Q94" s="60">
        <f>SUBTOTAL(9,Q74:Q93)</f>
        <v>47531093.522251531</v>
      </c>
      <c r="R94" s="60">
        <f>SUBTOTAL(9,R74:R93)</f>
        <v>155524746.9062694</v>
      </c>
    </row>
    <row r="95" spans="1:18" s="31" customFormat="1" x14ac:dyDescent="0.2">
      <c r="A95" s="44" t="s">
        <v>283</v>
      </c>
      <c r="B95" s="44" t="s">
        <v>760</v>
      </c>
      <c r="C95" s="45" t="s">
        <v>779</v>
      </c>
      <c r="D95" s="54" t="s">
        <v>354</v>
      </c>
      <c r="E95" s="55" t="s">
        <v>749</v>
      </c>
      <c r="F95"/>
      <c r="G95" s="45" t="s">
        <v>405</v>
      </c>
      <c r="H95" s="73" t="s">
        <v>354</v>
      </c>
      <c r="I95" s="78">
        <v>3000000</v>
      </c>
      <c r="J95" s="434">
        <f>VLOOKUP(A95,'Escalation Factors'!$C$18:$H$31,6,FALSE)</f>
        <v>1.847452143019257</v>
      </c>
      <c r="K95" s="47">
        <f t="shared" ref="K95" si="50">I95*J95</f>
        <v>5542356.4290577713</v>
      </c>
      <c r="L95" s="47">
        <f t="shared" ref="L95" si="51">K95*$L$4</f>
        <v>115668.97867443568</v>
      </c>
      <c r="M95" s="47">
        <f t="shared" ref="M95" si="52">K95+L95</f>
        <v>5658025.4077322073</v>
      </c>
      <c r="N95" s="49">
        <f>1-0.17</f>
        <v>0.83</v>
      </c>
      <c r="O95" s="47">
        <f t="shared" ref="O95:O101" si="53">M95*N95</f>
        <v>4696161.0884177322</v>
      </c>
      <c r="P95" s="50">
        <f>$P$4</f>
        <v>0.23407892834770871</v>
      </c>
      <c r="Q95" s="47">
        <f t="shared" ref="Q95:Q101" si="54">(M95-O95)*P95</f>
        <v>225152.16908103065</v>
      </c>
      <c r="R95" s="47">
        <f t="shared" ref="R95:R101" si="55">M95-O95-Q95</f>
        <v>736712.15023344452</v>
      </c>
    </row>
    <row r="96" spans="1:18" s="31" customFormat="1" x14ac:dyDescent="0.2">
      <c r="A96" s="44" t="s">
        <v>283</v>
      </c>
      <c r="B96" s="44" t="s">
        <v>469</v>
      </c>
      <c r="C96" s="45" t="s">
        <v>470</v>
      </c>
      <c r="D96" s="62" t="s">
        <v>354</v>
      </c>
      <c r="E96" s="55" t="s">
        <v>749</v>
      </c>
      <c r="F96" t="s">
        <v>839</v>
      </c>
      <c r="G96" s="45" t="s">
        <v>363</v>
      </c>
      <c r="H96" s="47">
        <v>2702000</v>
      </c>
      <c r="I96" s="47"/>
      <c r="J96" s="48">
        <f>VLOOKUP(A96,'Escalation Factors'!$C$18:$D$31,2,FALSE)</f>
        <v>2.2672851863081092</v>
      </c>
      <c r="K96" s="47">
        <f>H96*J96</f>
        <v>6126204.5734045105</v>
      </c>
      <c r="L96" s="47">
        <f>K96*$L$4</f>
        <v>127853.88944695213</v>
      </c>
      <c r="M96" s="47">
        <f>K96+L96</f>
        <v>6254058.4628514629</v>
      </c>
      <c r="N96" s="49">
        <v>0.25</v>
      </c>
      <c r="O96" s="47">
        <f t="shared" si="53"/>
        <v>1563514.6157128657</v>
      </c>
      <c r="P96" s="50">
        <f>$P$4</f>
        <v>0.23407892834770871</v>
      </c>
      <c r="Q96" s="47">
        <f t="shared" si="54"/>
        <v>1097957.4771061416</v>
      </c>
      <c r="R96" s="47">
        <f t="shared" si="55"/>
        <v>3592586.3700324548</v>
      </c>
    </row>
    <row r="97" spans="1:18" s="31" customFormat="1" x14ac:dyDescent="0.2">
      <c r="A97" s="44" t="s">
        <v>283</v>
      </c>
      <c r="B97" s="44" t="s">
        <v>471</v>
      </c>
      <c r="C97" s="45" t="s">
        <v>472</v>
      </c>
      <c r="D97" s="54" t="s">
        <v>354</v>
      </c>
      <c r="E97" s="55" t="s">
        <v>749</v>
      </c>
      <c r="F97"/>
      <c r="G97" s="45" t="s">
        <v>363</v>
      </c>
      <c r="H97" s="47">
        <v>2916000</v>
      </c>
      <c r="I97" s="47"/>
      <c r="J97" s="48">
        <f>VLOOKUP(A97,'Escalation Factors'!$C$18:$D$31,2,FALSE)</f>
        <v>2.2672851863081092</v>
      </c>
      <c r="K97" s="47">
        <f>H97*J97</f>
        <v>6611403.603274446</v>
      </c>
      <c r="L97" s="47">
        <f>K97*$L$4</f>
        <v>137979.99320033769</v>
      </c>
      <c r="M97" s="47">
        <f>K97+L97</f>
        <v>6749383.5964747835</v>
      </c>
      <c r="N97" s="49">
        <v>0.25</v>
      </c>
      <c r="O97" s="47">
        <f t="shared" si="53"/>
        <v>1687345.8991186959</v>
      </c>
      <c r="P97" s="50">
        <f>$P$4</f>
        <v>0.23407892834770871</v>
      </c>
      <c r="Q97" s="47">
        <f t="shared" si="54"/>
        <v>1184916.3594528162</v>
      </c>
      <c r="R97" s="47">
        <f t="shared" si="55"/>
        <v>3877121.3379032719</v>
      </c>
    </row>
    <row r="98" spans="1:18" s="31" customFormat="1" x14ac:dyDescent="0.2">
      <c r="A98" s="44" t="s">
        <v>283</v>
      </c>
      <c r="B98" s="44" t="s">
        <v>473</v>
      </c>
      <c r="C98" s="45" t="s">
        <v>474</v>
      </c>
      <c r="D98" s="54" t="s">
        <v>354</v>
      </c>
      <c r="E98" s="55" t="s">
        <v>749</v>
      </c>
      <c r="F98"/>
      <c r="G98" s="45" t="s">
        <v>363</v>
      </c>
      <c r="H98" s="47">
        <v>1258000</v>
      </c>
      <c r="I98" s="47"/>
      <c r="J98" s="48">
        <f>VLOOKUP(A98,'Escalation Factors'!$C$18:$D$31,2,FALSE)</f>
        <v>2.2672851863081092</v>
      </c>
      <c r="K98" s="47">
        <f>H98*J98</f>
        <v>2852244.7643756014</v>
      </c>
      <c r="L98" s="47">
        <f>K98*$L$4</f>
        <v>59526.348232518802</v>
      </c>
      <c r="M98" s="47">
        <f>K98+L98</f>
        <v>2911771.1126081203</v>
      </c>
      <c r="N98" s="49">
        <v>0.25</v>
      </c>
      <c r="O98" s="47">
        <f t="shared" si="53"/>
        <v>727942.77815203008</v>
      </c>
      <c r="P98" s="50">
        <f>$P$4</f>
        <v>0.23407892834770871</v>
      </c>
      <c r="Q98" s="47">
        <f t="shared" si="54"/>
        <v>511188.19622484321</v>
      </c>
      <c r="R98" s="47">
        <f t="shared" si="55"/>
        <v>1672640.1382312472</v>
      </c>
    </row>
    <row r="99" spans="1:18" s="31" customFormat="1" x14ac:dyDescent="0.2">
      <c r="A99" s="44" t="s">
        <v>283</v>
      </c>
      <c r="B99" s="44" t="s">
        <v>475</v>
      </c>
      <c r="C99" s="45" t="s">
        <v>476</v>
      </c>
      <c r="D99" s="54" t="s">
        <v>354</v>
      </c>
      <c r="E99" s="55" t="s">
        <v>749</v>
      </c>
      <c r="F99"/>
      <c r="G99" s="45" t="s">
        <v>360</v>
      </c>
      <c r="H99" s="47">
        <v>38000</v>
      </c>
      <c r="I99" s="47"/>
      <c r="J99" s="48">
        <f>VLOOKUP(A99,'Escalation Factors'!$C$18:$D$31,2,FALSE)</f>
        <v>2.2672851863081092</v>
      </c>
      <c r="K99" s="47">
        <f>H99*J99</f>
        <v>86156.837079708144</v>
      </c>
      <c r="L99" s="47">
        <f>K99*$L$4</f>
        <v>1798.0931898535089</v>
      </c>
      <c r="M99" s="47">
        <f>K99+L99</f>
        <v>87954.93026956165</v>
      </c>
      <c r="N99" s="49">
        <v>1</v>
      </c>
      <c r="O99" s="47">
        <f t="shared" si="53"/>
        <v>87954.93026956165</v>
      </c>
      <c r="P99" s="75">
        <v>0</v>
      </c>
      <c r="Q99" s="47">
        <f t="shared" si="54"/>
        <v>0</v>
      </c>
      <c r="R99" s="47">
        <f t="shared" si="55"/>
        <v>0</v>
      </c>
    </row>
    <row r="100" spans="1:18" s="31" customFormat="1" x14ac:dyDescent="0.2">
      <c r="A100" s="44" t="s">
        <v>283</v>
      </c>
      <c r="B100" s="44" t="s">
        <v>477</v>
      </c>
      <c r="C100" s="45" t="s">
        <v>478</v>
      </c>
      <c r="D100" s="54" t="s">
        <v>354</v>
      </c>
      <c r="E100" s="55" t="s">
        <v>749</v>
      </c>
      <c r="F100"/>
      <c r="G100" s="45" t="s">
        <v>370</v>
      </c>
      <c r="H100" s="47">
        <v>6290000</v>
      </c>
      <c r="I100" s="47"/>
      <c r="J100" s="48">
        <f>VLOOKUP(A100,'Escalation Factors'!$C$18:$D$31,2,FALSE)</f>
        <v>2.2672851863081092</v>
      </c>
      <c r="K100" s="47">
        <f t="shared" ref="K100" si="56">H100*J100</f>
        <v>14261223.821878007</v>
      </c>
      <c r="L100" s="47">
        <f t="shared" ref="L100:L101" si="57">K100*$L$4</f>
        <v>297631.741162594</v>
      </c>
      <c r="M100" s="47">
        <f t="shared" ref="M100:M101" si="58">K100+L100</f>
        <v>14558855.563040601</v>
      </c>
      <c r="N100" s="49">
        <v>1</v>
      </c>
      <c r="O100" s="47">
        <f t="shared" si="53"/>
        <v>14558855.563040601</v>
      </c>
      <c r="P100" s="75">
        <v>0</v>
      </c>
      <c r="Q100" s="47">
        <f t="shared" si="54"/>
        <v>0</v>
      </c>
      <c r="R100" s="47">
        <f t="shared" si="55"/>
        <v>0</v>
      </c>
    </row>
    <row r="101" spans="1:18" s="31" customFormat="1" x14ac:dyDescent="0.2">
      <c r="A101" s="44" t="s">
        <v>283</v>
      </c>
      <c r="B101" s="44" t="s">
        <v>438</v>
      </c>
      <c r="C101" s="45" t="s">
        <v>382</v>
      </c>
      <c r="D101" s="54" t="s">
        <v>840</v>
      </c>
      <c r="E101" s="55" t="s">
        <v>747</v>
      </c>
      <c r="F101" s="45" t="s">
        <v>841</v>
      </c>
      <c r="G101" s="45" t="s">
        <v>356</v>
      </c>
      <c r="H101" s="73" t="s">
        <v>354</v>
      </c>
      <c r="I101" s="78">
        <v>106090000</v>
      </c>
      <c r="J101" s="434">
        <f>VLOOKUP(A101,'Escalation Factors'!$C$18:$H$31,6,FALSE)</f>
        <v>1.847452143019257</v>
      </c>
      <c r="K101" s="47">
        <f t="shared" ref="K101" si="59">I101*J101</f>
        <v>195996197.85291296</v>
      </c>
      <c r="L101" s="47">
        <f t="shared" si="57"/>
        <v>4090440.6491902936</v>
      </c>
      <c r="M101" s="47">
        <f t="shared" si="58"/>
        <v>200086638.50210327</v>
      </c>
      <c r="N101" s="49">
        <f>1-0.47</f>
        <v>0.53</v>
      </c>
      <c r="O101" s="47">
        <f t="shared" si="53"/>
        <v>106045918.40611474</v>
      </c>
      <c r="P101" s="76">
        <f>$P$4</f>
        <v>0.23407892834770871</v>
      </c>
      <c r="Q101" s="47">
        <f t="shared" si="54"/>
        <v>22012950.981115829</v>
      </c>
      <c r="R101" s="47">
        <f t="shared" si="55"/>
        <v>72027769.114872694</v>
      </c>
    </row>
    <row r="102" spans="1:18" s="58" customFormat="1" ht="15" x14ac:dyDescent="0.25">
      <c r="A102" s="57" t="s">
        <v>283</v>
      </c>
      <c r="B102" s="57"/>
      <c r="D102" s="59"/>
      <c r="G102" s="59" t="s">
        <v>351</v>
      </c>
      <c r="H102" s="60">
        <f>SUBTOTAL(9,H95:H101)</f>
        <v>13204000</v>
      </c>
      <c r="I102" s="60">
        <f>SUBTOTAL(9,I95:I101)</f>
        <v>109090000</v>
      </c>
      <c r="J102" s="60"/>
      <c r="K102" s="60">
        <f>SUBTOTAL(9,K95:K101)</f>
        <v>231475787.88198301</v>
      </c>
      <c r="L102" s="60">
        <f>SUBTOTAL(9,L95:L101)</f>
        <v>4830899.693096986</v>
      </c>
      <c r="M102" s="60">
        <f>SUBTOTAL(9,M95:M101)</f>
        <v>236306687.57508001</v>
      </c>
      <c r="N102" s="60"/>
      <c r="O102" s="60">
        <f>SUBTOTAL(9,O95:O101)</f>
        <v>129367693.28082623</v>
      </c>
      <c r="P102" s="61"/>
      <c r="Q102" s="60">
        <f>SUBTOTAL(9,Q95:Q101)</f>
        <v>25032165.18298066</v>
      </c>
      <c r="R102" s="60">
        <f>SUBTOTAL(9,R95:R101)</f>
        <v>81906829.11127311</v>
      </c>
    </row>
    <row r="103" spans="1:18" s="31" customFormat="1" x14ac:dyDescent="0.2">
      <c r="A103" s="44" t="s">
        <v>284</v>
      </c>
      <c r="B103" s="44" t="s">
        <v>760</v>
      </c>
      <c r="C103" s="45" t="s">
        <v>779</v>
      </c>
      <c r="D103" s="54" t="s">
        <v>354</v>
      </c>
      <c r="E103" s="55" t="s">
        <v>749</v>
      </c>
      <c r="F103"/>
      <c r="G103" s="45" t="s">
        <v>405</v>
      </c>
      <c r="H103" s="73" t="s">
        <v>354</v>
      </c>
      <c r="I103" s="78">
        <v>3000000</v>
      </c>
      <c r="J103" s="434">
        <f>VLOOKUP(A103,'Escalation Factors'!$C$18:$H$31,6,FALSE)</f>
        <v>2.3373934594147654</v>
      </c>
      <c r="K103" s="47">
        <f t="shared" ref="K103" si="60">I103*J103</f>
        <v>7012180.3782442966</v>
      </c>
      <c r="L103" s="47">
        <f t="shared" ref="L103" si="61">K103*$L$4</f>
        <v>146344.20449395847</v>
      </c>
      <c r="M103" s="47">
        <f t="shared" ref="M103" si="62">K103+L103</f>
        <v>7158524.5827382552</v>
      </c>
      <c r="N103" s="49">
        <f>1-0.17</f>
        <v>0.83</v>
      </c>
      <c r="O103" s="47">
        <f>M103*N103</f>
        <v>5941575.403672751</v>
      </c>
      <c r="P103" s="76">
        <f>$P$4</f>
        <v>0.23407892834770871</v>
      </c>
      <c r="Q103" s="47">
        <f>(M103-O103)*P103</f>
        <v>284862.15968927706</v>
      </c>
      <c r="R103" s="47">
        <f>M103-O103-Q103</f>
        <v>932087.01937622705</v>
      </c>
    </row>
    <row r="104" spans="1:18" s="31" customFormat="1" x14ac:dyDescent="0.2">
      <c r="A104" s="44" t="s">
        <v>284</v>
      </c>
      <c r="B104" s="44" t="s">
        <v>842</v>
      </c>
      <c r="C104" s="45" t="s">
        <v>843</v>
      </c>
      <c r="D104" s="54"/>
      <c r="E104" s="55" t="s">
        <v>749</v>
      </c>
      <c r="F104" t="s">
        <v>844</v>
      </c>
      <c r="G104" s="45"/>
      <c r="H104" s="47">
        <v>2328000</v>
      </c>
      <c r="I104" s="47"/>
      <c r="J104" s="48">
        <f>VLOOKUP(A104,'Escalation Factors'!$C$18:$D$31,2,FALSE)</f>
        <v>2.8685655458677402</v>
      </c>
      <c r="K104" s="47">
        <f t="shared" ref="K104:K107" si="63">H104*J104</f>
        <v>6678020.5907800989</v>
      </c>
      <c r="L104" s="47">
        <f t="shared" ref="L104:L107" si="64">K104*$L$4</f>
        <v>139370.28972958066</v>
      </c>
      <c r="M104" s="47">
        <f t="shared" ref="M104:M107" si="65">K104+L104</f>
        <v>6817390.8805096792</v>
      </c>
      <c r="N104" s="49">
        <v>1</v>
      </c>
      <c r="O104" s="47">
        <f>M104*N104</f>
        <v>6817390.8805096792</v>
      </c>
      <c r="P104" s="75">
        <v>0</v>
      </c>
      <c r="Q104" s="47">
        <f>(M104-O104)*P104</f>
        <v>0</v>
      </c>
      <c r="R104" s="47">
        <f>M104-O104-Q104</f>
        <v>0</v>
      </c>
    </row>
    <row r="105" spans="1:18" s="31" customFormat="1" x14ac:dyDescent="0.2">
      <c r="A105" s="44" t="s">
        <v>284</v>
      </c>
      <c r="B105" s="44" t="s">
        <v>845</v>
      </c>
      <c r="C105" s="45" t="s">
        <v>846</v>
      </c>
      <c r="D105" s="62"/>
      <c r="E105" s="55" t="s">
        <v>749</v>
      </c>
      <c r="F105" t="s">
        <v>847</v>
      </c>
      <c r="G105" s="45"/>
      <c r="H105" s="47">
        <v>2002000</v>
      </c>
      <c r="I105" s="47"/>
      <c r="J105" s="48">
        <f>VLOOKUP(A105,'Escalation Factors'!$C$18:$D$31,2,FALSE)</f>
        <v>2.8685655458677402</v>
      </c>
      <c r="K105" s="47">
        <f t="shared" si="63"/>
        <v>5742868.2228272157</v>
      </c>
      <c r="L105" s="47">
        <f t="shared" si="64"/>
        <v>119853.65981040399</v>
      </c>
      <c r="M105" s="47">
        <f t="shared" si="65"/>
        <v>5862721.88263762</v>
      </c>
      <c r="N105" s="49">
        <v>1</v>
      </c>
      <c r="O105" s="47">
        <f>M105*N105</f>
        <v>5862721.88263762</v>
      </c>
      <c r="P105" s="75">
        <v>0</v>
      </c>
      <c r="Q105" s="47">
        <f>(M105-O105)*P105</f>
        <v>0</v>
      </c>
      <c r="R105" s="47">
        <f>M105-O105-Q105</f>
        <v>0</v>
      </c>
    </row>
    <row r="106" spans="1:18" s="31" customFormat="1" x14ac:dyDescent="0.2">
      <c r="A106" s="44" t="s">
        <v>284</v>
      </c>
      <c r="B106" s="44" t="s">
        <v>848</v>
      </c>
      <c r="C106" s="45" t="s">
        <v>849</v>
      </c>
      <c r="D106" s="62"/>
      <c r="E106" s="55" t="s">
        <v>749</v>
      </c>
      <c r="F106" t="s">
        <v>850</v>
      </c>
      <c r="G106" s="45"/>
      <c r="H106" s="47">
        <v>9612000</v>
      </c>
      <c r="I106" s="47"/>
      <c r="J106" s="48">
        <f>VLOOKUP(A106,'Escalation Factors'!$C$18:$D$31,2,FALSE)</f>
        <v>2.8685655458677402</v>
      </c>
      <c r="K106" s="47">
        <f t="shared" si="63"/>
        <v>27572652.026880719</v>
      </c>
      <c r="L106" s="47">
        <f t="shared" si="64"/>
        <v>575441.2478010006</v>
      </c>
      <c r="M106" s="47">
        <f t="shared" si="65"/>
        <v>28148093.274681721</v>
      </c>
      <c r="N106" s="49">
        <v>1</v>
      </c>
      <c r="O106" s="47">
        <f>M106*N106</f>
        <v>28148093.274681721</v>
      </c>
      <c r="P106" s="75">
        <v>0</v>
      </c>
      <c r="Q106" s="47">
        <f>(M106-O106)*P106</f>
        <v>0</v>
      </c>
      <c r="R106" s="47">
        <f>M106-O106-Q106</f>
        <v>0</v>
      </c>
    </row>
    <row r="107" spans="1:18" s="31" customFormat="1" x14ac:dyDescent="0.2">
      <c r="A107" s="44" t="s">
        <v>284</v>
      </c>
      <c r="B107" s="44" t="s">
        <v>851</v>
      </c>
      <c r="C107" s="45" t="s">
        <v>852</v>
      </c>
      <c r="D107" s="62"/>
      <c r="E107" s="55" t="s">
        <v>749</v>
      </c>
      <c r="F107" t="s">
        <v>853</v>
      </c>
      <c r="G107" s="45"/>
      <c r="H107" s="47">
        <v>3043000</v>
      </c>
      <c r="I107" s="47"/>
      <c r="J107" s="48">
        <f>VLOOKUP(A107,'Escalation Factors'!$C$18:$D$31,2,FALSE)</f>
        <v>2.8685655458677402</v>
      </c>
      <c r="K107" s="47">
        <f t="shared" si="63"/>
        <v>8729044.9560755324</v>
      </c>
      <c r="L107" s="47">
        <f t="shared" si="64"/>
        <v>182175.16823329637</v>
      </c>
      <c r="M107" s="47">
        <f t="shared" si="65"/>
        <v>8911220.1243088283</v>
      </c>
      <c r="N107" s="49">
        <v>1</v>
      </c>
      <c r="O107" s="47">
        <f>M107*N107</f>
        <v>8911220.1243088283</v>
      </c>
      <c r="P107" s="75">
        <v>0</v>
      </c>
      <c r="Q107" s="47">
        <f>(M107-O107)*P107</f>
        <v>0</v>
      </c>
      <c r="R107" s="47">
        <f>M107-O107-Q107</f>
        <v>0</v>
      </c>
    </row>
    <row r="108" spans="1:18" s="58" customFormat="1" ht="15" x14ac:dyDescent="0.25">
      <c r="A108" s="57" t="s">
        <v>284</v>
      </c>
      <c r="B108" s="57"/>
      <c r="D108" s="59"/>
      <c r="G108" s="59" t="s">
        <v>351</v>
      </c>
      <c r="H108" s="60">
        <f>SUBTOTAL(9,H103:H107)</f>
        <v>16985000</v>
      </c>
      <c r="I108" s="60">
        <f>SUBTOTAL(9,I103:I107)</f>
        <v>3000000</v>
      </c>
      <c r="J108" s="60"/>
      <c r="K108" s="60">
        <f>SUBTOTAL(9,K103:K107)</f>
        <v>55734766.174807861</v>
      </c>
      <c r="L108" s="60">
        <f>SUBTOTAL(9,L103:L107)</f>
        <v>1163184.5700682402</v>
      </c>
      <c r="M108" s="60">
        <f>SUBTOTAL(9,M103:M107)</f>
        <v>56897950.744876102</v>
      </c>
      <c r="N108" s="60"/>
      <c r="O108" s="60">
        <f>SUBTOTAL(9,O103:O107)</f>
        <v>55681001.565810591</v>
      </c>
      <c r="P108" s="61"/>
      <c r="Q108" s="60">
        <f>SUBTOTAL(9,Q103:Q107)</f>
        <v>284862.15968927706</v>
      </c>
      <c r="R108" s="60">
        <f>SUBTOTAL(9,R103:R107)</f>
        <v>932087.01937622705</v>
      </c>
    </row>
    <row r="109" spans="1:18" s="31" customFormat="1" x14ac:dyDescent="0.2">
      <c r="A109" s="44"/>
      <c r="B109" s="44"/>
      <c r="C109" s="45"/>
      <c r="D109" s="46"/>
      <c r="E109" s="45"/>
      <c r="F109" s="45"/>
      <c r="G109" s="77"/>
      <c r="H109" s="78"/>
      <c r="I109" s="78"/>
      <c r="J109" s="52"/>
      <c r="K109" s="52"/>
      <c r="L109" s="52"/>
      <c r="M109" s="52"/>
      <c r="N109" s="52"/>
      <c r="O109" s="52"/>
      <c r="P109" s="76"/>
      <c r="Q109" s="52"/>
      <c r="R109" s="52"/>
    </row>
    <row r="110" spans="1:18" s="31" customFormat="1" x14ac:dyDescent="0.2">
      <c r="A110" s="31" t="s">
        <v>482</v>
      </c>
      <c r="D110" s="32"/>
      <c r="G110" s="32" t="s">
        <v>854</v>
      </c>
      <c r="H110" s="52">
        <f>SUBTOTAL(9,H8:H102)</f>
        <v>24385000</v>
      </c>
      <c r="I110" s="52">
        <f>SUBTOTAL(9,I8:I102)</f>
        <v>1048522369</v>
      </c>
      <c r="J110" s="52"/>
      <c r="K110" s="52">
        <f>SUBTOTAL(9,K8:K102)</f>
        <v>1434080031.4423962</v>
      </c>
      <c r="L110" s="52">
        <f>SUBTOTAL(9,L8:L102)</f>
        <v>29929250.256202817</v>
      </c>
      <c r="M110" s="52">
        <f>SUBTOTAL(9,M8:M102)</f>
        <v>1505993950.7948756</v>
      </c>
      <c r="N110" s="52"/>
      <c r="O110" s="52">
        <f>SUBTOTAL(9,O8:O102)</f>
        <v>1034417691.4556268</v>
      </c>
      <c r="P110" s="79"/>
      <c r="Q110" s="52">
        <f>SUBTOTAL(9,Q8:Q102)</f>
        <v>106168593.58229508</v>
      </c>
      <c r="R110" s="52">
        <f>SUBTOTAL(9,R8:R102)</f>
        <v>365030522.8903535</v>
      </c>
    </row>
    <row r="111" spans="1:18" x14ac:dyDescent="0.2">
      <c r="G111" s="32" t="s">
        <v>855</v>
      </c>
      <c r="H111" s="52">
        <f>H110-H102/5</f>
        <v>21744200</v>
      </c>
      <c r="I111" s="52">
        <f>I110-I102/5</f>
        <v>1026704369</v>
      </c>
      <c r="K111" s="52">
        <f>K110-K102/5</f>
        <v>1387784873.8659995</v>
      </c>
      <c r="L111" s="52">
        <f>L110-L102/5</f>
        <v>28963070.317583419</v>
      </c>
      <c r="M111" s="52">
        <f>M110-M102/5</f>
        <v>1458732613.2798595</v>
      </c>
      <c r="N111" s="52"/>
      <c r="O111" s="52">
        <f>O110-O102/5</f>
        <v>1008544152.7994616</v>
      </c>
      <c r="P111" s="52"/>
      <c r="Q111" s="52">
        <f>Q110-Q102/5</f>
        <v>101162160.54569894</v>
      </c>
      <c r="R111" s="52">
        <f>R110-R102/5</f>
        <v>348649157.0680989</v>
      </c>
    </row>
    <row r="112" spans="1:18" x14ac:dyDescent="0.2">
      <c r="C112" s="82"/>
      <c r="D112" s="83"/>
      <c r="E112" s="82"/>
      <c r="F112" s="82"/>
      <c r="G112" s="82"/>
      <c r="H112" s="84"/>
      <c r="I112" s="84"/>
      <c r="M112" s="84"/>
    </row>
    <row r="113" spans="3:16" x14ac:dyDescent="0.2">
      <c r="C113" s="82"/>
      <c r="D113" s="83"/>
      <c r="E113" s="82"/>
      <c r="F113" s="82"/>
      <c r="G113" s="82"/>
      <c r="K113" s="84"/>
      <c r="P113" s="53"/>
    </row>
    <row r="114" spans="3:16" x14ac:dyDescent="0.2">
      <c r="K114" s="52"/>
    </row>
  </sheetData>
  <autoFilter ref="A6:R107" xr:uid="{00000000-0001-0000-0700-000000000000}"/>
  <dataValidations disablePrompts="1" count="1">
    <dataValidation type="list" allowBlank="1" showInputMessage="1" showErrorMessage="1" sqref="E103:E107 E8:E25 E27:E101" xr:uid="{A22A5081-47EB-4E2A-8044-75503CFC4354}">
      <formula1>#REF!</formula1>
    </dataValidation>
  </dataValidations>
  <pageMargins left="0.7" right="0.7" top="0.75" bottom="0.75" header="0.3" footer="0.3"/>
  <pageSetup paperSize="5" scale="34" orientation="landscape" r:id="rId1"/>
  <ignoredErrors>
    <ignoredError sqref="O20 J80 J71" formula="1"/>
    <ignoredError sqref="D55:D56 D58 D51 D52:D53 D75:D80 D69 D91 D101 D39:D46 D32:D33 D25:D2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704409-f930-40c6-8241-b262a7b258b5">
      <Terms xmlns="http://schemas.microsoft.com/office/infopath/2007/PartnerControls"/>
    </lcf76f155ced4ddcb4097134ff3c332f>
    <Record_x0020_Type xmlns="a7f627e3-af48-4a01-b59c-7b6e890f8c74">General</Record_x0020_Type>
    <Electronic_x0020_Copy_x0020_Only xmlns="a7f627e3-af48-4a01-b59c-7b6e890f8c74">Electronic Only</Electronic_x0020_Copy_x0020_Only>
    <LabelTxt xmlns="aa704409-f930-40c6-8241-b262a7b258b5">DMS_1450 - 02_General</LabelTxt>
    <DMS_x0020_Properties xmlns="aa704409-f930-40c6-8241-b262a7b258b5" xsi:nil="true"/>
    <Destruction_x0020_Classification xmlns="a7f627e3-af48-4a01-b59c-7b6e890f8c74">D (Destruction)</Destruction_x0020_Classification>
    <Active_x0020__x0028_OnSite_x0029_ xmlns="a7f627e3-af48-4a01-b59c-7b6e890f8c74">N/A</Active_x0020__x0028_OnSite_x0029_>
    <Retention_x0020_in_x0020_Years xmlns="a7f627e3-af48-4a01-b59c-7b6e890f8c74">1</Retention_x0020_in_x0020_Years>
    <Disposition_x0020_Response xmlns="a7f627e3-af48-4a01-b59c-7b6e890f8c74" xsi:nil="true"/>
    <TaxCatchAll xmlns="a7f627e3-af48-4a01-b59c-7b6e890f8c74" xsi:nil="true"/>
    <d309cd339aa543099bd17c51f402d9ef xmlns="a7f627e3-af48-4a01-b59c-7b6e890f8c74">
      <Terms xmlns="http://schemas.microsoft.com/office/infopath/2007/PartnerControls"/>
    </d309cd339aa543099bd17c51f402d9ef>
    <Disposition_x0020_Date xmlns="a7f627e3-af48-4a01-b59c-7b6e890f8c74">2026-08-01T03:00:00+00:00</Disposition_x0020_Date>
    <Disposition_x0020_Authorization_x0020_Logging xmlns="a7f627e3-af48-4a01-b59c-7b6e890f8c74" xsi:nil="true"/>
    <DMS_x0020_Record_x0020_external_x0020_location xmlns="a7f627e3-af48-4a01-b59c-7b6e890f8c74" xsi:nil="true"/>
    <Disposition_x0020_Stage xmlns="a7f627e3-af48-4a01-b59c-7b6e890f8c74">NA</Disposition_x0020_Stage>
    <_Flow_SignoffStatus xmlns="aa704409-f930-40c6-8241-b262a7b258b5" xsi:nil="true"/>
    <Record_x0020_Comments xmlns="a7f627e3-af48-4a01-b59c-7b6e890f8c74" xsi:nil="true"/>
    <Record_x0020_Owner xmlns="a7f627e3-af48-4a01-b59c-7b6e890f8c74">
      <UserInfo>
        <DisplayName>HWJR Corporate General Council</DisplayName>
        <AccountId>1139</AccountId>
        <AccountType/>
      </UserInfo>
    </Record_x0020_Owner>
    <Associated_x0020_Record_x0020_Request xmlns="a7f627e3-af48-4a01-b59c-7b6e890f8c7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Legal Services Record" ma:contentTypeID="0x010100FEE76DBE2D3FD94EB7DEA1DAF12B9A3001006AAC0F47CCB6504C9A2041B4EECC86FB" ma:contentTypeVersion="41" ma:contentTypeDescription="" ma:contentTypeScope="" ma:versionID="b3007db2e49911cd9482d63155c85605">
  <xsd:schema xmlns:xsd="http://www.w3.org/2001/XMLSchema" xmlns:xs="http://www.w3.org/2001/XMLSchema" xmlns:p="http://schemas.microsoft.com/office/2006/metadata/properties" xmlns:ns2="a7f627e3-af48-4a01-b59c-7b6e890f8c74" xmlns:ns3="aa704409-f930-40c6-8241-b262a7b258b5" targetNamespace="http://schemas.microsoft.com/office/2006/metadata/properties" ma:root="true" ma:fieldsID="7225b090d1d83a254c598c8805d80a92" ns2:_="" ns3:_="">
    <xsd:import namespace="a7f627e3-af48-4a01-b59c-7b6e890f8c74"/>
    <xsd:import namespace="aa704409-f930-40c6-8241-b262a7b258b5"/>
    <xsd:element name="properties">
      <xsd:complexType>
        <xsd:sequence>
          <xsd:element name="documentManagement">
            <xsd:complexType>
              <xsd:all>
                <xsd:element ref="ns2:Record_x0020_Type"/>
                <xsd:element ref="ns2:Record_x0020_Owner" minOccurs="0"/>
                <xsd:element ref="ns2:Active_x0020__x0028_OnSite_x0029_" minOccurs="0"/>
                <xsd:element ref="ns2:Electronic_x0020_Copy_x0020_Only" minOccurs="0"/>
                <xsd:element ref="ns2:DMS_x0020_Record_x0020_external_x0020_location" minOccurs="0"/>
                <xsd:element ref="ns2:Record_x0020_Comments" minOccurs="0"/>
                <xsd:element ref="ns2:Retention_x0020_in_x0020_Years" minOccurs="0"/>
                <xsd:element ref="ns2:Disposition_x0020_Date" minOccurs="0"/>
                <xsd:element ref="ns3:LabelTxt" minOccurs="0"/>
                <xsd:element ref="ns2:Disposition_x0020_Authorization_x0020_Logging" minOccurs="0"/>
                <xsd:element ref="ns2:Disposition_x0020_Stage" minOccurs="0"/>
                <xsd:element ref="ns2:Disposition_x0020_Response" minOccurs="0"/>
                <xsd:element ref="ns2:Destruction_x0020_Classification" minOccurs="0"/>
                <xsd:element ref="ns2:TaxCatchAllLabel" minOccurs="0"/>
                <xsd:element ref="ns2:d309cd339aa543099bd17c51f402d9ef" minOccurs="0"/>
                <xsd:element ref="ns2:TaxCatchAll" minOccurs="0"/>
                <xsd:element ref="ns3:DMS_x0020_Properties" minOccurs="0"/>
                <xsd:element ref="ns3:_Flow_SignoffStatus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Associated_x0020_Record_x0020_Request" minOccurs="0"/>
                <xsd:element ref="ns3:lcf76f155ced4ddcb4097134ff3c332f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f627e3-af48-4a01-b59c-7b6e890f8c74" elementFormDefault="qualified">
    <xsd:import namespace="http://schemas.microsoft.com/office/2006/documentManagement/types"/>
    <xsd:import namespace="http://schemas.microsoft.com/office/infopath/2007/PartnerControls"/>
    <xsd:element name="Record_x0020_Type" ma:index="1" ma:displayName="Record Type" ma:format="Dropdown" ma:internalName="Record_x0020_Type" ma:readOnly="false">
      <xsd:simpleType>
        <xsd:restriction base="dms:Choice">
          <xsd:enumeration value="Policies, Procedures and Standards"/>
          <xsd:enumeration value="General"/>
          <xsd:enumeration value="Acts and Legislation"/>
          <xsd:enumeration value="Associations and Conferences"/>
          <xsd:enumeration value="Committees"/>
          <xsd:enumeration value="Contracts and Agreements"/>
          <xsd:enumeration value="Legal Matters UARB ONLY"/>
          <xsd:enumeration value="Planning and Review"/>
          <xsd:enumeration value="Reports and Statistics"/>
          <xsd:enumeration value="Legal Case Files"/>
          <xsd:enumeration value="Correspondence"/>
          <xsd:enumeration value="Forms"/>
          <xsd:enumeration value="Records Disposition Documents"/>
        </xsd:restriction>
      </xsd:simpleType>
    </xsd:element>
    <xsd:element name="Record_x0020_Owner" ma:index="2" nillable="true" ma:displayName="Record Owner" ma:list="UserInfo" ma:SharePointGroup="0" ma:internalName="Record_x0020_Own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ctive_x0020__x0028_OnSite_x0029_" ma:index="3" nillable="true" ma:displayName="Active (OnSite)" ma:default="N/A" ma:format="Dropdown" ma:internalName="Active_x0020__x0028_OnSite_x0029_" ma:readOnly="false">
      <xsd:simpleType>
        <xsd:restriction base="dms:Choice">
          <xsd:enumeration value="N/A"/>
          <xsd:enumeration value="SO+1"/>
          <xsd:enumeration value="SO+2"/>
          <xsd:enumeration value="SO+2E"/>
          <xsd:enumeration value="SO+3"/>
          <xsd:enumeration value="SO+4"/>
          <xsd:enumeration value="SO+6"/>
          <xsd:enumeration value="SO+7"/>
          <xsd:enumeration value="SO+10"/>
          <xsd:enumeration value="SO+65"/>
          <xsd:enumeration value="FY+1"/>
          <xsd:enumeration value="FY+2"/>
          <xsd:enumeration value="FY+3"/>
          <xsd:enumeration value="FY+5"/>
          <xsd:enumeration value="FY+6"/>
          <xsd:enumeration value="FY+7"/>
          <xsd:enumeration value="FY+19"/>
          <xsd:enumeration value="FY+20"/>
          <xsd:enumeration value="1"/>
          <xsd:enumeration value="2"/>
          <xsd:enumeration value="3"/>
          <xsd:enumeration value="7"/>
          <xsd:enumeration value="10"/>
          <xsd:enumeration value="20"/>
          <xsd:enumeration value="65"/>
        </xsd:restriction>
      </xsd:simpleType>
    </xsd:element>
    <xsd:element name="Electronic_x0020_Copy_x0020_Only" ma:index="4" nillable="true" ma:displayName="Electronic Copy Only" ma:format="Dropdown" ma:internalName="Electronic_x0020_Copy_x0020_Only" ma:readOnly="false">
      <xsd:simpleType>
        <xsd:restriction base="dms:Choice">
          <xsd:enumeration value="Electronic Only"/>
          <xsd:enumeration value="Electronic and Paper Copies"/>
        </xsd:restriction>
      </xsd:simpleType>
    </xsd:element>
    <xsd:element name="DMS_x0020_Record_x0020_external_x0020_location" ma:index="5" nillable="true" ma:displayName="DMS Record external location" ma:description="Enter the location or link to the secondary location of this record." ma:internalName="DMS_x0020_Record_x0020_external_x0020_location" ma:readOnly="false">
      <xsd:simpleType>
        <xsd:restriction base="dms:Note">
          <xsd:maxLength value="255"/>
        </xsd:restriction>
      </xsd:simpleType>
    </xsd:element>
    <xsd:element name="Record_x0020_Comments" ma:index="6" nillable="true" ma:displayName="Record Comments" ma:internalName="Record_x0020_Comments" ma:readOnly="false">
      <xsd:simpleType>
        <xsd:restriction base="dms:Note">
          <xsd:maxLength value="255"/>
        </xsd:restriction>
      </xsd:simpleType>
    </xsd:element>
    <xsd:element name="Retention_x0020_in_x0020_Years" ma:index="8" nillable="true" ma:displayName="Retention in Years" ma:hidden="true" ma:internalName="Retention_x0020_in_x0020_Years" ma:readOnly="false">
      <xsd:simpleType>
        <xsd:restriction base="dms:Text">
          <xsd:maxLength value="255"/>
        </xsd:restriction>
      </xsd:simpleType>
    </xsd:element>
    <xsd:element name="Disposition_x0020_Date" ma:index="9" nillable="true" ma:displayName="Disposition Date" ma:description="This date is calculated to be a month earlier than the finial disposition date, and is used to trigger the predisposition process." ma:format="DateOnly" ma:hidden="true" ma:internalName="Disposition_x0020_Date" ma:readOnly="false">
      <xsd:simpleType>
        <xsd:restriction base="dms:DateTime"/>
      </xsd:simpleType>
    </xsd:element>
    <xsd:element name="Disposition_x0020_Authorization_x0020_Logging" ma:index="11" nillable="true" ma:displayName="Disposition Authorization Logging" ma:hidden="true" ma:internalName="Disposition_x0020_Authorization_x0020_Logging" ma:readOnly="false">
      <xsd:simpleType>
        <xsd:restriction base="dms:Note"/>
      </xsd:simpleType>
    </xsd:element>
    <xsd:element name="Disposition_x0020_Stage" ma:index="12" nillable="true" ma:displayName="Disposition Stage" ma:default="NA" ma:format="Dropdown" ma:hidden="true" ma:internalName="Disposition_x0020_Stage" ma:readOnly="false">
      <xsd:simpleType>
        <xsd:restriction base="dms:Choice">
          <xsd:enumeration value="NA"/>
          <xsd:enumeration value="First Disposition Stage"/>
          <xsd:enumeration value="Second Disposition Stage"/>
          <xsd:enumeration value="Final Disposition Stage"/>
        </xsd:restriction>
      </xsd:simpleType>
    </xsd:element>
    <xsd:element name="Disposition_x0020_Response" ma:index="13" nillable="true" ma:displayName="Disposition Response" ma:format="Dropdown" ma:hidden="true" ma:internalName="Disposition_x0020_Response" ma:readOnly="false">
      <xsd:simpleType>
        <xsd:restriction base="dms:Choice">
          <xsd:enumeration value="Delete"/>
          <xsd:enumeration value="Republish"/>
          <xsd:enumeration value="Extend"/>
        </xsd:restriction>
      </xsd:simpleType>
    </xsd:element>
    <xsd:element name="Destruction_x0020_Classification" ma:index="14" nillable="true" ma:displayName="Destruction Classification" ma:format="Dropdown" ma:hidden="true" ma:internalName="Destruction_x0020_Classification" ma:readOnly="false">
      <xsd:simpleType>
        <xsd:restriction base="dms:Choice">
          <xsd:enumeration value="DP (Disposition Plan)"/>
          <xsd:enumeration value="D (Destruction)"/>
          <xsd:enumeration value="A (Archive)"/>
        </xsd:restriction>
      </xsd:simpleType>
    </xsd:element>
    <xsd:element name="TaxCatchAllLabel" ma:index="16" nillable="true" ma:displayName="Taxonomy Catch All Column1" ma:hidden="true" ma:list="{010f01e7-e472-481a-91bf-680ac681f7c9}" ma:internalName="TaxCatchAllLabel" ma:readOnly="true" ma:showField="CatchAllDataLabel" ma:web="a7f627e3-af48-4a01-b59c-7b6e890f8c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309cd339aa543099bd17c51f402d9ef" ma:index="18" nillable="true" ma:taxonomy="true" ma:internalName="d309cd339aa543099bd17c51f402d9ef" ma:taxonomyFieldName="DMS_x0020_Keywords" ma:displayName="DMS Keywords" ma:readOnly="false" ma:fieldId="{d309cd33-9aa5-4309-9bd1-7c51f402d9ef}" ma:taxonomyMulti="true" ma:sspId="99fda6ed-6dfb-46c1-90d3-7406325e0972" ma:termSetId="e4d0a668-43e5-4368-8d9e-15837719a0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010f01e7-e472-481a-91bf-680ac681f7c9}" ma:internalName="TaxCatchAll" ma:readOnly="false" ma:showField="CatchAllData" ma:web="a7f627e3-af48-4a01-b59c-7b6e890f8c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7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Shared With Details" ma:hidden="true" ma:internalName="SharedWithDetails" ma:readOnly="true">
      <xsd:simpleType>
        <xsd:restriction base="dms:Note"/>
      </xsd:simpleType>
    </xsd:element>
    <xsd:element name="Associated_x0020_Record_x0020_Request" ma:index="37" nillable="true" ma:displayName="Associated Record Request" ma:hidden="true" ma:internalName="Associated_x0020_Record_x0020_Request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04409-f930-40c6-8241-b262a7b258b5" elementFormDefault="qualified">
    <xsd:import namespace="http://schemas.microsoft.com/office/2006/documentManagement/types"/>
    <xsd:import namespace="http://schemas.microsoft.com/office/infopath/2007/PartnerControls"/>
    <xsd:element name="LabelTxt" ma:index="10" nillable="true" ma:displayName="LabelTxt" ma:description="The values used in this column should match the Retention Label name exactly." ma:hidden="true" ma:internalName="LabelTxt0" ma:readOnly="false">
      <xsd:simpleType>
        <xsd:restriction base="dms:Text">
          <xsd:maxLength value="255"/>
        </xsd:restriction>
      </xsd:simpleType>
    </xsd:element>
    <xsd:element name="DMS_x0020_Properties" ma:index="25" nillable="true" ma:displayName="DMS Properties" ma:hidden="true" ma:internalName="DMS_x0020_Properties" ma:readOnly="false">
      <xsd:simpleType>
        <xsd:restriction base="dms:Text">
          <xsd:maxLength value="255"/>
        </xsd:restriction>
      </xsd:simpleType>
    </xsd:element>
    <xsd:element name="_Flow_SignoffStatus" ma:index="26" nillable="true" ma:displayName="Sign-off status" ma:hidden="true" ma:internalName="Sign_x002d_off_x0020_status" ma:readOnly="false">
      <xsd:simpleType>
        <xsd:restriction base="dms:Text"/>
      </xsd:simpleType>
    </xsd:element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2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33" nillable="true" ma:displayName="Tags" ma:hidden="true" ma:internalName="MediaServiceAutoTags" ma:readOnly="true">
      <xsd:simpleType>
        <xsd:restriction base="dms:Text"/>
      </xsd:simpleType>
    </xsd:element>
    <xsd:element name="MediaServiceOCR" ma:index="3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99fda6ed-6dfb-46c1-90d3-7406325e09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4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4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44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61F17B-1ABE-45C9-866A-DB6859E047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43F818-833F-4E91-AE38-A0EED4BA08D3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aa704409-f930-40c6-8241-b262a7b258b5"/>
    <ds:schemaRef ds:uri="a7f627e3-af48-4a01-b59c-7b6e890f8c74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2BE60B8-B96D-4630-8DC6-4774B1BBA1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f627e3-af48-4a01-b59c-7b6e890f8c74"/>
    <ds:schemaRef ds:uri="aa704409-f930-40c6-8241-b262a7b258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Overnight Lending Rates</vt:lpstr>
      <vt:lpstr>BofC Bonds</vt:lpstr>
      <vt:lpstr>Non-Res Construction</vt:lpstr>
      <vt:lpstr>CPI</vt:lpstr>
      <vt:lpstr>Financial Assumptions</vt:lpstr>
      <vt:lpstr>Summary</vt:lpstr>
      <vt:lpstr>Wastewater - Financial Model</vt:lpstr>
      <vt:lpstr>Water - Financial Model</vt:lpstr>
      <vt:lpstr>2025 Water - Phase Costs</vt:lpstr>
      <vt:lpstr>2025 Water - Charge</vt:lpstr>
      <vt:lpstr>2025 Wastewater - Phase Costs</vt:lpstr>
      <vt:lpstr>2025 Wastewater - Charge</vt:lpstr>
      <vt:lpstr>Population Projections</vt:lpstr>
      <vt:lpstr>Escalation Factors</vt:lpstr>
      <vt:lpstr>'2025 Wastewater - Charge'!Print_Area</vt:lpstr>
      <vt:lpstr>'2025 Wastewater - Phase Costs'!Print_Area</vt:lpstr>
      <vt:lpstr>'2025 Water - Charge'!Print_Area</vt:lpstr>
      <vt:lpstr>'Financial Assumptions'!Print_Area</vt:lpstr>
      <vt:lpstr>'Overnight Lending Rates'!Print_Area</vt:lpstr>
      <vt:lpstr>'Population Projections'!Print_Area</vt:lpstr>
      <vt:lpstr>'Wastewater - Financial Model'!Print_Area</vt:lpstr>
      <vt:lpstr>'Water - Financial Model'!Print_Area</vt:lpstr>
    </vt:vector>
  </TitlesOfParts>
  <Manager/>
  <Company>Halifax Water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 NOT FILE Working File July V2 - RDC Side by side Comparison (</dc:title>
  <dc:subject/>
  <dc:creator>Fabio Alonso</dc:creator>
  <cp:keywords/>
  <dc:description/>
  <cp:lastModifiedBy>Kenda MacKenzie</cp:lastModifiedBy>
  <cp:revision/>
  <cp:lastPrinted>2025-07-29T19:21:33Z</cp:lastPrinted>
  <dcterms:created xsi:type="dcterms:W3CDTF">2025-06-12T11:51:06Z</dcterms:created>
  <dcterms:modified xsi:type="dcterms:W3CDTF">2025-08-14T15:20:30Z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0x010100FEE76DBE2D3FD94EB7DEA1DAF12B9A3001006AAC0F47CCB6504C9A2041B4EECC86FB</vt:lpwstr>
  </property>
  <property fmtid="{D5CDD505-2E9C-101B-9397-08002B2CF9AE}" pid="3" name="MediaServiceImageTags">
    <vt:lpwstr/>
  </property>
  <property fmtid="{D5CDD505-2E9C-101B-9397-08002B2CF9AE}" pid="4" name="DMS_x0020_Keywords">
    <vt:lpwstr/>
  </property>
  <property fmtid="{D5CDD505-2E9C-101B-9397-08002B2CF9AE}" pid="5" name="DMS Keywords">
    <vt:lpwstr/>
  </property>
</Properties>
</file>